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ennstateoffice365-my.sharepoint.com/personal/jkh4_psu_edu/Documents/Desktop/Grafting/"/>
    </mc:Choice>
  </mc:AlternateContent>
  <xr:revisionPtr revIDLastSave="4841" documentId="8_{F0F8D55C-BD40-4E89-9181-7FD9978BCED6}" xr6:coauthVersionLast="47" xr6:coauthVersionMax="47" xr10:uidLastSave="{20A076E4-7C4F-45D2-BE3D-BFDFC2D87CD5}"/>
  <bookViews>
    <workbookView xWindow="-108" yWindow="-108" windowWidth="23256" windowHeight="12576" tabRatio="876" xr2:uid="{68B51F25-779C-496D-8167-588AEE82413B}"/>
  </bookViews>
  <sheets>
    <sheet name="Instructions" sheetId="13" r:id="rId1"/>
    <sheet name="Parameters" sheetId="1" r:id="rId2"/>
    <sheet name="Yield &amp; income projections" sheetId="9" r:id="rId3"/>
    <sheet name="Grafting Prep" sheetId="2" r:id="rId4"/>
    <sheet name="Grafting" sheetId="3" r:id="rId5"/>
    <sheet name="Year After Grafting" sheetId="4" r:id="rId6"/>
    <sheet name="Land prep" sheetId="6" r:id="rId7"/>
    <sheet name="Planting" sheetId="7" r:id="rId8"/>
    <sheet name="Non-Bearing Year" sheetId="11" r:id="rId9"/>
    <sheet name="Intermediate Year" sheetId="14" r:id="rId10"/>
    <sheet name="Mature Year" sheetId="12" r:id="rId11"/>
    <sheet name="Financial Comparison" sheetId="5" r:id="rId1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1" l="1"/>
  <c r="I7" i="7"/>
  <c r="I6" i="7"/>
  <c r="C5" i="3"/>
  <c r="D39" i="9"/>
  <c r="D52" i="9"/>
  <c r="B24" i="5"/>
  <c r="I6" i="12"/>
  <c r="F17" i="12"/>
  <c r="F19" i="12"/>
  <c r="F20" i="12"/>
  <c r="F21" i="12"/>
  <c r="F22" i="12"/>
  <c r="F23" i="12"/>
  <c r="F24" i="12"/>
  <c r="F25" i="12"/>
  <c r="F27" i="12"/>
  <c r="F28" i="12"/>
  <c r="F31" i="12"/>
  <c r="F38" i="12"/>
  <c r="F39" i="12"/>
  <c r="F40" i="12"/>
  <c r="F41" i="12"/>
  <c r="F42" i="12"/>
  <c r="F44" i="12"/>
  <c r="F45" i="12"/>
  <c r="F48" i="12"/>
  <c r="F51" i="12"/>
  <c r="F52" i="12"/>
  <c r="F53" i="12"/>
  <c r="F55" i="12"/>
  <c r="F57" i="12"/>
  <c r="I7" i="12"/>
  <c r="C24" i="5"/>
  <c r="D24" i="5"/>
  <c r="E24" i="5"/>
  <c r="G48" i="12"/>
  <c r="F24" i="5"/>
  <c r="G24" i="5"/>
  <c r="D40" i="9"/>
  <c r="D53" i="9"/>
  <c r="B25" i="5"/>
  <c r="C25" i="5"/>
  <c r="D25" i="5"/>
  <c r="E25" i="5"/>
  <c r="F25" i="5"/>
  <c r="G25" i="5"/>
  <c r="D41" i="9"/>
  <c r="D54" i="9"/>
  <c r="B26" i="5"/>
  <c r="C26" i="5"/>
  <c r="D26" i="5"/>
  <c r="E26" i="5"/>
  <c r="F26" i="5"/>
  <c r="G26" i="5"/>
  <c r="D42" i="9"/>
  <c r="D55" i="9"/>
  <c r="B27" i="5"/>
  <c r="C27" i="5"/>
  <c r="D27" i="5"/>
  <c r="E27" i="5"/>
  <c r="F27" i="5"/>
  <c r="G27" i="5"/>
  <c r="D43" i="9"/>
  <c r="D56" i="9"/>
  <c r="B28" i="5"/>
  <c r="C28" i="5"/>
  <c r="D28" i="5"/>
  <c r="E28" i="5"/>
  <c r="F28" i="5"/>
  <c r="G28" i="5"/>
  <c r="D44" i="9"/>
  <c r="D57" i="9"/>
  <c r="B29" i="5"/>
  <c r="C29" i="5"/>
  <c r="D29" i="5"/>
  <c r="E29" i="5"/>
  <c r="F29" i="5"/>
  <c r="G29" i="5"/>
  <c r="D45" i="9"/>
  <c r="D58" i="9"/>
  <c r="B30" i="5"/>
  <c r="C30" i="5"/>
  <c r="D30" i="5"/>
  <c r="E30" i="5"/>
  <c r="F30" i="5"/>
  <c r="G30" i="5"/>
  <c r="D46" i="9"/>
  <c r="D59" i="9"/>
  <c r="B31" i="5"/>
  <c r="C31" i="5"/>
  <c r="D31" i="5"/>
  <c r="E31" i="5"/>
  <c r="F31" i="5"/>
  <c r="G31" i="5"/>
  <c r="D47" i="9"/>
  <c r="D60" i="9"/>
  <c r="B32" i="5"/>
  <c r="C32" i="5"/>
  <c r="D32" i="5"/>
  <c r="E32" i="5"/>
  <c r="F32" i="5"/>
  <c r="G32" i="5"/>
  <c r="D48" i="9"/>
  <c r="D61" i="9"/>
  <c r="B33" i="5"/>
  <c r="C33" i="5"/>
  <c r="D33" i="5"/>
  <c r="E33" i="5"/>
  <c r="F33" i="5"/>
  <c r="G33" i="5"/>
  <c r="B34" i="5"/>
  <c r="C34" i="5"/>
  <c r="D34" i="5"/>
  <c r="E34" i="5"/>
  <c r="F34" i="5"/>
  <c r="G34" i="5"/>
  <c r="B35" i="5"/>
  <c r="C35" i="5"/>
  <c r="D35" i="5"/>
  <c r="E35" i="5"/>
  <c r="F35" i="5"/>
  <c r="G35" i="5"/>
  <c r="B36" i="5"/>
  <c r="C36" i="5"/>
  <c r="D36" i="5"/>
  <c r="E36" i="5"/>
  <c r="F36" i="5"/>
  <c r="G36" i="5"/>
  <c r="B37" i="5"/>
  <c r="C37" i="5"/>
  <c r="D37" i="5"/>
  <c r="E37" i="5"/>
  <c r="F37" i="5"/>
  <c r="G37" i="5"/>
  <c r="B38" i="5"/>
  <c r="C38" i="5"/>
  <c r="D38" i="5"/>
  <c r="E38" i="5"/>
  <c r="F38" i="5"/>
  <c r="G38" i="5"/>
  <c r="B39" i="5"/>
  <c r="C39" i="5"/>
  <c r="D39" i="5"/>
  <c r="E39" i="5"/>
  <c r="F39" i="5"/>
  <c r="G39" i="5"/>
  <c r="B40" i="5"/>
  <c r="C40" i="5"/>
  <c r="D40" i="5"/>
  <c r="E40" i="5"/>
  <c r="F40" i="5"/>
  <c r="G40" i="5"/>
  <c r="B41" i="5"/>
  <c r="C41" i="5"/>
  <c r="D41" i="5"/>
  <c r="E41" i="5"/>
  <c r="F41" i="5"/>
  <c r="G41" i="5"/>
  <c r="B42" i="5"/>
  <c r="C42" i="5"/>
  <c r="D42" i="5"/>
  <c r="E42" i="5"/>
  <c r="F42" i="5"/>
  <c r="G42" i="5"/>
  <c r="B43" i="5"/>
  <c r="C43" i="5"/>
  <c r="D43" i="5"/>
  <c r="E43" i="5"/>
  <c r="F43" i="5"/>
  <c r="G43" i="5"/>
  <c r="D8" i="5"/>
  <c r="D7" i="5"/>
  <c r="D6" i="5"/>
  <c r="I6" i="6"/>
  <c r="I7" i="6"/>
  <c r="T13" i="5"/>
  <c r="S24" i="5"/>
  <c r="K6" i="6"/>
  <c r="K7" i="6"/>
  <c r="V24" i="5"/>
  <c r="F39" i="9"/>
  <c r="F52" i="9"/>
  <c r="R24" i="5"/>
  <c r="W24" i="5"/>
  <c r="H20" i="7"/>
  <c r="H50" i="7"/>
  <c r="H57" i="7"/>
  <c r="H59" i="7"/>
  <c r="I8" i="7"/>
  <c r="T14" i="5"/>
  <c r="S25" i="5"/>
  <c r="E40" i="9"/>
  <c r="U25" i="5"/>
  <c r="J6" i="7"/>
  <c r="K6" i="7"/>
  <c r="J7" i="7"/>
  <c r="K7" i="7"/>
  <c r="J8" i="7"/>
  <c r="K8" i="7"/>
  <c r="V25" i="5"/>
  <c r="F40" i="9"/>
  <c r="F53" i="9"/>
  <c r="R25" i="5"/>
  <c r="W25" i="5"/>
  <c r="I6" i="11"/>
  <c r="F16" i="11"/>
  <c r="F18" i="11"/>
  <c r="F19" i="11"/>
  <c r="F20" i="11"/>
  <c r="F21" i="11"/>
  <c r="F22" i="11"/>
  <c r="F23" i="11"/>
  <c r="F24" i="11"/>
  <c r="F26" i="11"/>
  <c r="F27" i="11"/>
  <c r="F28" i="11"/>
  <c r="F30" i="11"/>
  <c r="F31" i="11"/>
  <c r="F32" i="11"/>
  <c r="F35" i="11"/>
  <c r="F36" i="11"/>
  <c r="F37" i="11"/>
  <c r="F39" i="11"/>
  <c r="F40" i="11"/>
  <c r="F43" i="11"/>
  <c r="F46" i="11"/>
  <c r="F47" i="11"/>
  <c r="F48" i="11"/>
  <c r="F50" i="11"/>
  <c r="F52" i="11"/>
  <c r="S26" i="5"/>
  <c r="T26" i="5"/>
  <c r="F41" i="9"/>
  <c r="U26" i="5"/>
  <c r="K6" i="11"/>
  <c r="K7" i="11"/>
  <c r="V26" i="5"/>
  <c r="W26" i="5"/>
  <c r="F42" i="9"/>
  <c r="F55" i="9"/>
  <c r="R27" i="5"/>
  <c r="I6" i="14"/>
  <c r="F19" i="14"/>
  <c r="F21" i="14"/>
  <c r="F22" i="14"/>
  <c r="F23" i="14"/>
  <c r="F24" i="14"/>
  <c r="F25" i="14"/>
  <c r="F26" i="14"/>
  <c r="F27" i="14"/>
  <c r="F29" i="14"/>
  <c r="F30" i="14"/>
  <c r="F33" i="14"/>
  <c r="F40" i="14"/>
  <c r="F41" i="14"/>
  <c r="F42" i="14"/>
  <c r="F43" i="14"/>
  <c r="F45" i="14"/>
  <c r="F46" i="14"/>
  <c r="F49" i="14"/>
  <c r="F52" i="14"/>
  <c r="F53" i="14"/>
  <c r="F54" i="14"/>
  <c r="F56" i="14"/>
  <c r="F58" i="14"/>
  <c r="I7" i="14"/>
  <c r="S27" i="5"/>
  <c r="T27" i="5"/>
  <c r="U27" i="5"/>
  <c r="K6" i="14"/>
  <c r="K7" i="14"/>
  <c r="V27" i="5"/>
  <c r="W27" i="5"/>
  <c r="F43" i="9"/>
  <c r="F56" i="9"/>
  <c r="R28" i="5"/>
  <c r="F48" i="9"/>
  <c r="F61" i="9"/>
  <c r="S28" i="5"/>
  <c r="T28" i="5"/>
  <c r="U28" i="5"/>
  <c r="V28" i="5"/>
  <c r="W28" i="5"/>
  <c r="F44" i="9"/>
  <c r="F57" i="9"/>
  <c r="R29" i="5"/>
  <c r="E48" i="9"/>
  <c r="E61" i="9"/>
  <c r="S29" i="5"/>
  <c r="T29" i="5"/>
  <c r="E44" i="9"/>
  <c r="U29" i="5"/>
  <c r="K6" i="12"/>
  <c r="K7" i="12"/>
  <c r="V29" i="5"/>
  <c r="W29" i="5"/>
  <c r="F45" i="9"/>
  <c r="F58" i="9"/>
  <c r="R30" i="5"/>
  <c r="S30" i="5"/>
  <c r="T30" i="5"/>
  <c r="E45" i="9"/>
  <c r="U30" i="5"/>
  <c r="V30" i="5"/>
  <c r="W30" i="5"/>
  <c r="F46" i="9"/>
  <c r="F59" i="9"/>
  <c r="R31" i="5"/>
  <c r="S31" i="5"/>
  <c r="T31" i="5"/>
  <c r="E46" i="9"/>
  <c r="U31" i="5"/>
  <c r="V31" i="5"/>
  <c r="W31" i="5"/>
  <c r="F47" i="9"/>
  <c r="F60" i="9"/>
  <c r="R32" i="5"/>
  <c r="S32" i="5"/>
  <c r="T32" i="5"/>
  <c r="E47" i="9"/>
  <c r="U32" i="5"/>
  <c r="V32" i="5"/>
  <c r="W32" i="5"/>
  <c r="R33" i="5"/>
  <c r="S33" i="5"/>
  <c r="T33" i="5"/>
  <c r="U33" i="5"/>
  <c r="V33" i="5"/>
  <c r="W33" i="5"/>
  <c r="R34" i="5"/>
  <c r="S34" i="5"/>
  <c r="T34" i="5"/>
  <c r="U34" i="5"/>
  <c r="V34" i="5"/>
  <c r="W34" i="5"/>
  <c r="R35" i="5"/>
  <c r="S35" i="5"/>
  <c r="T35" i="5"/>
  <c r="U35" i="5"/>
  <c r="V35" i="5"/>
  <c r="W35" i="5"/>
  <c r="R36" i="5"/>
  <c r="S36" i="5"/>
  <c r="T36" i="5"/>
  <c r="U36" i="5"/>
  <c r="V36" i="5"/>
  <c r="W36" i="5"/>
  <c r="R37" i="5"/>
  <c r="S37" i="5"/>
  <c r="T37" i="5"/>
  <c r="U37" i="5"/>
  <c r="V37" i="5"/>
  <c r="W37" i="5"/>
  <c r="R38" i="5"/>
  <c r="S38" i="5"/>
  <c r="T38" i="5"/>
  <c r="U38" i="5"/>
  <c r="V38" i="5"/>
  <c r="W38" i="5"/>
  <c r="R39" i="5"/>
  <c r="S39" i="5"/>
  <c r="T39" i="5"/>
  <c r="U39" i="5"/>
  <c r="V39" i="5"/>
  <c r="W39" i="5"/>
  <c r="R40" i="5"/>
  <c r="S40" i="5"/>
  <c r="T40" i="5"/>
  <c r="U40" i="5"/>
  <c r="V40" i="5"/>
  <c r="W40" i="5"/>
  <c r="R41" i="5"/>
  <c r="S41" i="5"/>
  <c r="T41" i="5"/>
  <c r="U41" i="5"/>
  <c r="V41" i="5"/>
  <c r="W41" i="5"/>
  <c r="R42" i="5"/>
  <c r="S42" i="5"/>
  <c r="T42" i="5"/>
  <c r="U42" i="5"/>
  <c r="V42" i="5"/>
  <c r="W42" i="5"/>
  <c r="R43" i="5"/>
  <c r="S43" i="5"/>
  <c r="T43" i="5"/>
  <c r="U43" i="5"/>
  <c r="V43" i="5"/>
  <c r="W43" i="5"/>
  <c r="T8" i="5"/>
  <c r="T7" i="5"/>
  <c r="T6" i="5"/>
  <c r="D38" i="2"/>
  <c r="D48" i="2"/>
  <c r="D60" i="2"/>
  <c r="D71" i="2"/>
  <c r="M37" i="1"/>
  <c r="O37" i="1"/>
  <c r="U37" i="1"/>
  <c r="W37" i="1"/>
  <c r="AA37" i="1"/>
  <c r="H78" i="2"/>
  <c r="M38" i="1"/>
  <c r="O38" i="1"/>
  <c r="U38" i="1"/>
  <c r="W38" i="1"/>
  <c r="Y38" i="1"/>
  <c r="AA38" i="1"/>
  <c r="H79" i="2"/>
  <c r="H80" i="2"/>
  <c r="H81" i="2"/>
  <c r="M41" i="1"/>
  <c r="O41" i="1"/>
  <c r="U41" i="1"/>
  <c r="W41" i="1"/>
  <c r="Y41" i="1"/>
  <c r="AA41" i="1"/>
  <c r="H82" i="2"/>
  <c r="M42" i="1"/>
  <c r="O42" i="1"/>
  <c r="U42" i="1"/>
  <c r="W42" i="1"/>
  <c r="Y42" i="1"/>
  <c r="AA42" i="1"/>
  <c r="H83" i="2"/>
  <c r="M43" i="1"/>
  <c r="O43" i="1"/>
  <c r="U43" i="1"/>
  <c r="AA43" i="1"/>
  <c r="H84" i="2"/>
  <c r="M44" i="1"/>
  <c r="O44" i="1"/>
  <c r="U44" i="1"/>
  <c r="AA44" i="1"/>
  <c r="H85" i="2"/>
  <c r="M45" i="1"/>
  <c r="O45" i="1"/>
  <c r="U45" i="1"/>
  <c r="AA45" i="1"/>
  <c r="H86" i="2"/>
  <c r="M46" i="1"/>
  <c r="O46" i="1"/>
  <c r="U46" i="1"/>
  <c r="AA46" i="1"/>
  <c r="H87" i="2"/>
  <c r="M47" i="1"/>
  <c r="O47" i="1"/>
  <c r="U47" i="1"/>
  <c r="AA47" i="1"/>
  <c r="H88" i="2"/>
  <c r="D90" i="2"/>
  <c r="D92" i="2"/>
  <c r="L12" i="5"/>
  <c r="C21" i="3"/>
  <c r="G29" i="3"/>
  <c r="G30" i="3"/>
  <c r="G31" i="3"/>
  <c r="C33" i="3"/>
  <c r="G40" i="3"/>
  <c r="G41" i="3"/>
  <c r="G42" i="3"/>
  <c r="C44" i="3"/>
  <c r="G52" i="3"/>
  <c r="G53" i="3"/>
  <c r="G54" i="3"/>
  <c r="C56" i="3"/>
  <c r="G64" i="3"/>
  <c r="G65" i="3"/>
  <c r="G66" i="3"/>
  <c r="C72" i="3"/>
  <c r="E39" i="9"/>
  <c r="C74" i="3"/>
  <c r="C80" i="3"/>
  <c r="L13" i="5"/>
  <c r="E52" i="9"/>
  <c r="J24" i="5"/>
  <c r="K24" i="5"/>
  <c r="M24" i="5"/>
  <c r="N24" i="5"/>
  <c r="O24" i="5"/>
  <c r="G10" i="4"/>
  <c r="G11" i="4"/>
  <c r="G12" i="4"/>
  <c r="C14" i="4"/>
  <c r="G23" i="4"/>
  <c r="G24" i="4"/>
  <c r="G25" i="4"/>
  <c r="C27" i="4"/>
  <c r="G36" i="4"/>
  <c r="G37" i="4"/>
  <c r="G38" i="4"/>
  <c r="C40" i="4"/>
  <c r="G49" i="4"/>
  <c r="G50" i="4"/>
  <c r="G51" i="4"/>
  <c r="C53" i="4"/>
  <c r="G59" i="4"/>
  <c r="G60" i="4"/>
  <c r="G61" i="4"/>
  <c r="C63" i="4"/>
  <c r="C69" i="4"/>
  <c r="L14" i="5"/>
  <c r="E53" i="9"/>
  <c r="J25" i="5"/>
  <c r="K25" i="5"/>
  <c r="L25" i="5"/>
  <c r="M25" i="5"/>
  <c r="N25" i="5"/>
  <c r="O25" i="5"/>
  <c r="E41" i="9"/>
  <c r="E54" i="9"/>
  <c r="J26" i="5"/>
  <c r="K26" i="5"/>
  <c r="L26" i="5"/>
  <c r="M26" i="5"/>
  <c r="N26" i="5"/>
  <c r="O26" i="5"/>
  <c r="E42" i="9"/>
  <c r="E55" i="9"/>
  <c r="J27" i="5"/>
  <c r="K27" i="5"/>
  <c r="L27" i="5"/>
  <c r="M27" i="5"/>
  <c r="N27" i="5"/>
  <c r="O27" i="5"/>
  <c r="E43" i="9"/>
  <c r="E56" i="9"/>
  <c r="J28" i="5"/>
  <c r="K28" i="5"/>
  <c r="L28" i="5"/>
  <c r="M28" i="5"/>
  <c r="N28" i="5"/>
  <c r="O28" i="5"/>
  <c r="E57" i="9"/>
  <c r="J29" i="5"/>
  <c r="K29" i="5"/>
  <c r="L29" i="5"/>
  <c r="M29" i="5"/>
  <c r="N29" i="5"/>
  <c r="O29" i="5"/>
  <c r="E58" i="9"/>
  <c r="J30" i="5"/>
  <c r="K30" i="5"/>
  <c r="L30" i="5"/>
  <c r="M30" i="5"/>
  <c r="N30" i="5"/>
  <c r="O30" i="5"/>
  <c r="E59" i="9"/>
  <c r="J31" i="5"/>
  <c r="K31" i="5"/>
  <c r="L31" i="5"/>
  <c r="M31" i="5"/>
  <c r="N31" i="5"/>
  <c r="O31" i="5"/>
  <c r="E60" i="9"/>
  <c r="J32" i="5"/>
  <c r="K32" i="5"/>
  <c r="L32" i="5"/>
  <c r="M32" i="5"/>
  <c r="N32" i="5"/>
  <c r="O32" i="5"/>
  <c r="J33" i="5"/>
  <c r="K33" i="5"/>
  <c r="L33" i="5"/>
  <c r="M33" i="5"/>
  <c r="N33" i="5"/>
  <c r="O33" i="5"/>
  <c r="J34" i="5"/>
  <c r="K34" i="5"/>
  <c r="L34" i="5"/>
  <c r="M34" i="5"/>
  <c r="N34" i="5"/>
  <c r="O34" i="5"/>
  <c r="J35" i="5"/>
  <c r="K35" i="5"/>
  <c r="L35" i="5"/>
  <c r="M35" i="5"/>
  <c r="N35" i="5"/>
  <c r="O35" i="5"/>
  <c r="J36" i="5"/>
  <c r="K36" i="5"/>
  <c r="L36" i="5"/>
  <c r="M36" i="5"/>
  <c r="N36" i="5"/>
  <c r="O36" i="5"/>
  <c r="J37" i="5"/>
  <c r="K37" i="5"/>
  <c r="L37" i="5"/>
  <c r="M37" i="5"/>
  <c r="N37" i="5"/>
  <c r="O37" i="5"/>
  <c r="J38" i="5"/>
  <c r="K38" i="5"/>
  <c r="L38" i="5"/>
  <c r="M38" i="5"/>
  <c r="N38" i="5"/>
  <c r="O38" i="5"/>
  <c r="L7" i="5"/>
  <c r="L6" i="5"/>
  <c r="X24" i="5"/>
  <c r="X25" i="5"/>
  <c r="X26" i="5"/>
  <c r="X27" i="5"/>
  <c r="X28" i="5"/>
  <c r="X29" i="5"/>
  <c r="X30" i="5"/>
  <c r="X31" i="5"/>
  <c r="X32" i="5"/>
  <c r="X33" i="5"/>
  <c r="X34" i="5"/>
  <c r="X35" i="5"/>
  <c r="X36" i="5"/>
  <c r="X37" i="5"/>
  <c r="X38" i="5"/>
  <c r="X39" i="5"/>
  <c r="X40" i="5"/>
  <c r="X41" i="5"/>
  <c r="X42" i="5"/>
  <c r="X43" i="5"/>
  <c r="T9" i="5"/>
  <c r="J43" i="5"/>
  <c r="K43" i="5"/>
  <c r="L43" i="5"/>
  <c r="M43" i="5"/>
  <c r="N43" i="5"/>
  <c r="O43" i="5"/>
  <c r="J42" i="5"/>
  <c r="K42" i="5"/>
  <c r="L42" i="5"/>
  <c r="M42" i="5"/>
  <c r="N42" i="5"/>
  <c r="O42" i="5"/>
  <c r="J41" i="5"/>
  <c r="K41" i="5"/>
  <c r="L41" i="5"/>
  <c r="M41" i="5"/>
  <c r="N41" i="5"/>
  <c r="O41" i="5"/>
  <c r="J40" i="5"/>
  <c r="K40" i="5"/>
  <c r="L40" i="5"/>
  <c r="M40" i="5"/>
  <c r="N40" i="5"/>
  <c r="O40" i="5"/>
  <c r="J39" i="5"/>
  <c r="K39" i="5"/>
  <c r="L39" i="5"/>
  <c r="M39" i="5"/>
  <c r="N39" i="5"/>
  <c r="O39" i="5"/>
  <c r="C45" i="5"/>
  <c r="J7" i="11"/>
  <c r="J6" i="11"/>
  <c r="G32" i="6"/>
  <c r="G39" i="6"/>
  <c r="G41" i="6"/>
  <c r="L8" i="5"/>
  <c r="P24" i="5"/>
  <c r="P25" i="5"/>
  <c r="P26" i="5"/>
  <c r="P27" i="5"/>
  <c r="P28" i="5"/>
  <c r="P29" i="5"/>
  <c r="P30" i="5"/>
  <c r="P31" i="5"/>
  <c r="P32" i="5"/>
  <c r="P33" i="5"/>
  <c r="P34" i="5"/>
  <c r="P35" i="5"/>
  <c r="P36" i="5"/>
  <c r="P37" i="5"/>
  <c r="P38" i="5"/>
  <c r="P39" i="5"/>
  <c r="P40" i="5"/>
  <c r="P41" i="5"/>
  <c r="P42" i="5"/>
  <c r="P43" i="5"/>
  <c r="L9" i="5"/>
  <c r="D33" i="11"/>
  <c r="D34" i="12"/>
  <c r="D36" i="14"/>
  <c r="D36" i="12"/>
  <c r="D46" i="12"/>
  <c r="G7" i="12"/>
  <c r="G7" i="14"/>
  <c r="H24" i="5"/>
  <c r="H25" i="5"/>
  <c r="H26" i="5"/>
  <c r="H27" i="5"/>
  <c r="H28" i="5"/>
  <c r="H29" i="5"/>
  <c r="H30" i="5"/>
  <c r="H31" i="5"/>
  <c r="H32" i="5"/>
  <c r="H33" i="5"/>
  <c r="H34" i="5"/>
  <c r="H35" i="5"/>
  <c r="H36" i="5"/>
  <c r="H37" i="5"/>
  <c r="H38" i="5"/>
  <c r="H39" i="5"/>
  <c r="H40" i="5"/>
  <c r="H41" i="5"/>
  <c r="H42" i="5"/>
  <c r="H43" i="5"/>
  <c r="E12" i="3"/>
  <c r="E10" i="3"/>
  <c r="G55" i="12"/>
  <c r="G57" i="12"/>
  <c r="D41" i="11"/>
  <c r="D47" i="14"/>
  <c r="D38" i="14"/>
  <c r="G50" i="11"/>
  <c r="G43" i="11"/>
  <c r="G52" i="11"/>
  <c r="D48" i="7"/>
  <c r="G56" i="14"/>
  <c r="G49" i="14"/>
  <c r="G58" i="14"/>
  <c r="V54" i="12"/>
  <c r="F16" i="14"/>
  <c r="D30" i="6"/>
  <c r="C22" i="3"/>
  <c r="C13" i="3"/>
  <c r="G7" i="6"/>
  <c r="G6" i="7"/>
  <c r="G7" i="11"/>
  <c r="B59" i="3"/>
  <c r="D26" i="9"/>
  <c r="D25" i="2"/>
  <c r="C4" i="3"/>
  <c r="C6" i="3"/>
  <c r="D11" i="3"/>
  <c r="E21" i="2"/>
  <c r="D16" i="2"/>
  <c r="F57" i="7"/>
  <c r="F20" i="7"/>
  <c r="F50" i="7"/>
  <c r="F59" i="7"/>
  <c r="W40" i="1"/>
  <c r="Y40" i="1"/>
  <c r="W39" i="1"/>
  <c r="Y39" i="1"/>
  <c r="H69" i="2"/>
  <c r="H68" i="2"/>
  <c r="H67" i="2"/>
  <c r="H58" i="2"/>
  <c r="H57" i="2"/>
  <c r="H56" i="2"/>
  <c r="I57" i="7"/>
  <c r="I50" i="7"/>
  <c r="A55" i="2"/>
  <c r="A54" i="2"/>
  <c r="A52" i="2"/>
  <c r="A47" i="2"/>
  <c r="A46" i="2"/>
  <c r="A45" i="2"/>
  <c r="A43" i="2"/>
  <c r="M39" i="1"/>
  <c r="O39" i="1"/>
  <c r="U39" i="1"/>
  <c r="M40" i="1"/>
  <c r="O40" i="1"/>
  <c r="U40" i="1"/>
  <c r="I59" i="7"/>
  <c r="F54" i="9"/>
  <c r="H48" i="2"/>
  <c r="A49" i="2"/>
  <c r="A50" i="2"/>
  <c r="A48" i="2"/>
  <c r="A56" i="2"/>
  <c r="A51" i="2"/>
  <c r="A44" i="2"/>
  <c r="A53" i="2"/>
  <c r="AA39" i="1"/>
  <c r="AA40" i="1"/>
  <c r="T16" i="5"/>
  <c r="L16" i="5"/>
</calcChain>
</file>

<file path=xl/sharedStrings.xml><?xml version="1.0" encoding="utf-8"?>
<sst xmlns="http://schemas.openxmlformats.org/spreadsheetml/2006/main" count="1057" uniqueCount="451">
  <si>
    <t>Item</t>
  </si>
  <si>
    <t>Cost</t>
  </si>
  <si>
    <t>Hours used</t>
  </si>
  <si>
    <t>per Year</t>
  </si>
  <si>
    <t>Chainsaw</t>
  </si>
  <si>
    <t>Trailer</t>
  </si>
  <si>
    <t>Wagon</t>
  </si>
  <si>
    <t>Chopper</t>
  </si>
  <si>
    <t>x</t>
  </si>
  <si>
    <t>Operator labor</t>
  </si>
  <si>
    <t>Pre Grafting</t>
  </si>
  <si>
    <t>Workers</t>
  </si>
  <si>
    <t xml:space="preserve">Hours </t>
  </si>
  <si>
    <t>Grafting</t>
  </si>
  <si>
    <t>Travel costs</t>
  </si>
  <si>
    <t>Additional costs</t>
  </si>
  <si>
    <t>Grafted by grower</t>
  </si>
  <si>
    <t>Tree clips</t>
  </si>
  <si>
    <t>Tying grafts to prepare for braiding</t>
  </si>
  <si>
    <t>Fruit removal from nurse limb</t>
  </si>
  <si>
    <t>Hours</t>
  </si>
  <si>
    <t>Training</t>
  </si>
  <si>
    <t>Tree ties</t>
  </si>
  <si>
    <t>Grapple</t>
  </si>
  <si>
    <t>Summary</t>
  </si>
  <si>
    <t>Price per graft</t>
  </si>
  <si>
    <t>Useful</t>
  </si>
  <si>
    <t>Life</t>
  </si>
  <si>
    <t xml:space="preserve">Item </t>
  </si>
  <si>
    <t>Tree removal</t>
  </si>
  <si>
    <t>N</t>
  </si>
  <si>
    <t>Planting</t>
  </si>
  <si>
    <t>Apple trees</t>
  </si>
  <si>
    <t>Labor</t>
  </si>
  <si>
    <t xml:space="preserve">  Operator</t>
  </si>
  <si>
    <t>Other</t>
  </si>
  <si>
    <t xml:space="preserve">  Deer repellent</t>
  </si>
  <si>
    <t>Repairs and maintenance</t>
  </si>
  <si>
    <t>Unit</t>
  </si>
  <si>
    <t>acre</t>
  </si>
  <si>
    <t>pound</t>
  </si>
  <si>
    <t>hour</t>
  </si>
  <si>
    <t>tree</t>
  </si>
  <si>
    <t>gallon</t>
  </si>
  <si>
    <t>Quantity</t>
  </si>
  <si>
    <t>Replanting</t>
  </si>
  <si>
    <t>each</t>
  </si>
  <si>
    <t>Skid loader</t>
  </si>
  <si>
    <t>Management labor</t>
  </si>
  <si>
    <t>Hourly labor</t>
  </si>
  <si>
    <t>R&amp;M</t>
  </si>
  <si>
    <t>Total cost</t>
  </si>
  <si>
    <t>per hour</t>
  </si>
  <si>
    <t>Depreciation</t>
  </si>
  <si>
    <t>Fuel Cost</t>
  </si>
  <si>
    <t>Lubrication</t>
  </si>
  <si>
    <t>Tractor-1</t>
  </si>
  <si>
    <t>Tractor-2</t>
  </si>
  <si>
    <t>Details</t>
  </si>
  <si>
    <t>Units</t>
  </si>
  <si>
    <t>hp</t>
  </si>
  <si>
    <t>ft</t>
  </si>
  <si>
    <t xml:space="preserve">Salvage </t>
  </si>
  <si>
    <t>Ownership</t>
  </si>
  <si>
    <t>Salvage</t>
  </si>
  <si>
    <t>Tractor-3</t>
  </si>
  <si>
    <t>Tractor-4</t>
  </si>
  <si>
    <t>Used?</t>
  </si>
  <si>
    <t>Whips needed</t>
  </si>
  <si>
    <t>Grafts per tree</t>
  </si>
  <si>
    <t>Bud wood cost</t>
  </si>
  <si>
    <t>Total number of grafts</t>
  </si>
  <si>
    <t>Time per tree</t>
  </si>
  <si>
    <t>(minutes)</t>
  </si>
  <si>
    <t>or</t>
  </si>
  <si>
    <t>Time per acre</t>
  </si>
  <si>
    <t>(hours)</t>
  </si>
  <si>
    <t>Total grafting cost by grower</t>
  </si>
  <si>
    <t>Total grafting cost by service</t>
  </si>
  <si>
    <t>calculated</t>
  </si>
  <si>
    <t>hrs/acre</t>
  </si>
  <si>
    <t>Additional grower supplied labor</t>
  </si>
  <si>
    <t>Royalty cost per tree</t>
  </si>
  <si>
    <t>and/or</t>
  </si>
  <si>
    <t>at time of grafting</t>
  </si>
  <si>
    <t>Total additional labor cost</t>
  </si>
  <si>
    <t>Total fruit removal cost</t>
  </si>
  <si>
    <t>Resealing of grafts</t>
  </si>
  <si>
    <t>Chemical fruit removal</t>
  </si>
  <si>
    <t>$/acre</t>
  </si>
  <si>
    <t>Grafted trees</t>
  </si>
  <si>
    <t>New Planting</t>
  </si>
  <si>
    <t>Year</t>
  </si>
  <si>
    <t>Year 1</t>
  </si>
  <si>
    <t>Year 2</t>
  </si>
  <si>
    <t>Year 3</t>
  </si>
  <si>
    <t>first crop</t>
  </si>
  <si>
    <t>Year 4</t>
  </si>
  <si>
    <t>intermediate crop</t>
  </si>
  <si>
    <t>first crop or intermediate crop</t>
  </si>
  <si>
    <t>Year 5</t>
  </si>
  <si>
    <t>Year 6</t>
  </si>
  <si>
    <t>fruit removal or first crop</t>
  </si>
  <si>
    <t>full crop</t>
  </si>
  <si>
    <t>Full crop yield</t>
  </si>
  <si>
    <t>Expected yield, by year</t>
  </si>
  <si>
    <t>Variable Costs</t>
  </si>
  <si>
    <t>Fertilizers/soil amendments</t>
  </si>
  <si>
    <t>Fixed Costs</t>
  </si>
  <si>
    <t>*These budgets are examples only; use the “your estimate” column to adjust figures for your operation. Budget estimates are based on data available in June 2023.</t>
  </si>
  <si>
    <t>Other Potential Costs Per Acre</t>
  </si>
  <si>
    <t>Sudangrass and rapeseed</t>
  </si>
  <si>
    <t>cover crops</t>
  </si>
  <si>
    <t>Total graft resealing cost</t>
  </si>
  <si>
    <t>Price ($)</t>
  </si>
  <si>
    <t>Amount ($)</t>
  </si>
  <si>
    <t>Your Estimate*</t>
  </si>
  <si>
    <t>Lime and spreading</t>
  </si>
  <si>
    <t xml:space="preserve"> ton</t>
  </si>
  <si>
    <t xml:space="preserve">K </t>
  </si>
  <si>
    <t>Labor, seasonal</t>
  </si>
  <si>
    <t>Labor, operator</t>
  </si>
  <si>
    <t>Diesel fuel</t>
  </si>
  <si>
    <t xml:space="preserve">Other </t>
  </si>
  <si>
    <t>Tractors</t>
  </si>
  <si>
    <t xml:space="preserve">Equipment </t>
  </si>
  <si>
    <t xml:space="preserve">Interest on operating capital </t>
  </si>
  <si>
    <t>Total variable costs</t>
  </si>
  <si>
    <t>Equipment</t>
  </si>
  <si>
    <t>Land charge</t>
  </si>
  <si>
    <t>Total fixed costs</t>
  </si>
  <si>
    <t>Total specified costs</t>
  </si>
  <si>
    <t>*This budgets are examples only; use the “your estimate” column to adjust figures for your operation. Budget estimates are based on data available in June 2023.</t>
  </si>
  <si>
    <t>Root and stump removal</t>
  </si>
  <si>
    <t>Bulldozing, grading</t>
  </si>
  <si>
    <t>Fumigation</t>
  </si>
  <si>
    <t>$1,000–2,500</t>
  </si>
  <si>
    <t>$500–2,000</t>
  </si>
  <si>
    <t>$500–1,500</t>
  </si>
  <si>
    <t>$2,700–3,000</t>
  </si>
  <si>
    <t>$350-400</t>
  </si>
  <si>
    <t>Enter your costs for land preparation or use the estimated cost from the 2024-25 TFPG</t>
  </si>
  <si>
    <t>Grass seed</t>
  </si>
  <si>
    <t>Fertilizer</t>
  </si>
  <si>
    <t>Pesticides</t>
  </si>
  <si>
    <t>Trellis/support system</t>
  </si>
  <si>
    <t>**Cost estimates based on a typical mix of pesticides used in conjunction with integrated pest management practices.</t>
  </si>
  <si>
    <t>***Includes irrigation system for the high density orchard.</t>
  </si>
  <si>
    <t>Herbicides**</t>
  </si>
  <si>
    <t>Fungicides**</t>
  </si>
  <si>
    <t>Insecticides**</t>
  </si>
  <si>
    <t>Seasonal</t>
  </si>
  <si>
    <t>Operator</t>
  </si>
  <si>
    <t>Deer repellent</t>
  </si>
  <si>
    <t>Tree guards</t>
  </si>
  <si>
    <t>Rodenticide</t>
  </si>
  <si>
    <t>Drip tape</t>
  </si>
  <si>
    <t>Crimping tool</t>
  </si>
  <si>
    <t>Posts</t>
  </si>
  <si>
    <t>Wire</t>
  </si>
  <si>
    <t>Crimp sleeves</t>
  </si>
  <si>
    <t>Staples</t>
  </si>
  <si>
    <t>Tree stakes</t>
  </si>
  <si>
    <t>Interest on operating capital</t>
  </si>
  <si>
    <t>Equipment***</t>
  </si>
  <si>
    <t>foot</t>
  </si>
  <si>
    <t>1,000 feet</t>
  </si>
  <si>
    <t>Medium Density (272 TPA)</t>
  </si>
  <si>
    <t>High Density (1,210 TPA)</t>
  </si>
  <si>
    <t>—</t>
  </si>
  <si>
    <t xml:space="preserve">— </t>
  </si>
  <si>
    <t>Year 7+</t>
  </si>
  <si>
    <t>Use TFPG values for medium-density orchard cost</t>
  </si>
  <si>
    <t>Use TFPG values for high-desnsity orchard cost</t>
  </si>
  <si>
    <t>Lime</t>
  </si>
  <si>
    <t>ton</t>
  </si>
  <si>
    <t xml:space="preserve">  N</t>
  </si>
  <si>
    <t xml:space="preserve">  K</t>
  </si>
  <si>
    <t xml:space="preserve">  Urea</t>
  </si>
  <si>
    <t xml:space="preserve">  Calcium chloride</t>
  </si>
  <si>
    <t xml:space="preserve">  Soulbor</t>
  </si>
  <si>
    <t xml:space="preserve">  Soil test </t>
  </si>
  <si>
    <t xml:space="preserve">  Plant analysis test</t>
  </si>
  <si>
    <t xml:space="preserve">  Rodenticide E</t>
  </si>
  <si>
    <t xml:space="preserve">  Trellis maintenance</t>
  </si>
  <si>
    <t xml:space="preserve">  Thinning and misc.</t>
  </si>
  <si>
    <t xml:space="preserve">  Pruning</t>
  </si>
  <si>
    <t xml:space="preserve">  Harvesting</t>
  </si>
  <si>
    <t>bushel</t>
  </si>
  <si>
    <t xml:space="preserve">  Pests Monitoring</t>
  </si>
  <si>
    <r>
      <t>Diesel fuel</t>
    </r>
    <r>
      <rPr>
        <sz val="11"/>
        <color theme="1"/>
        <rFont val="Calibri"/>
        <family val="2"/>
      </rPr>
      <t>¹</t>
    </r>
  </si>
  <si>
    <t xml:space="preserve">  Tractors</t>
  </si>
  <si>
    <r>
      <t xml:space="preserve">  Equipment</t>
    </r>
    <r>
      <rPr>
        <sz val="11"/>
        <color theme="1"/>
        <rFont val="Calibri"/>
        <family val="2"/>
      </rPr>
      <t>¹</t>
    </r>
  </si>
  <si>
    <t xml:space="preserve">  Land charge</t>
  </si>
  <si>
    <t>Using a grafting service</t>
  </si>
  <si>
    <t>Hired labor</t>
  </si>
  <si>
    <t>Purchase budword</t>
  </si>
  <si>
    <t>Collect and store own budwood</t>
  </si>
  <si>
    <t>Labor for limb removal</t>
  </si>
  <si>
    <t xml:space="preserve">Labor for brush removal </t>
  </si>
  <si>
    <t>Tractor (60 hp)</t>
  </si>
  <si>
    <t>Tractor (90 hp)</t>
  </si>
  <si>
    <t>Tractor (75 hp)</t>
  </si>
  <si>
    <t>Mower</t>
  </si>
  <si>
    <t>Hours of</t>
  </si>
  <si>
    <t>use</t>
  </si>
  <si>
    <t>Tractor (105 hp)</t>
  </si>
  <si>
    <t>Machinery and Equipment used for limb and brush removal</t>
  </si>
  <si>
    <t>Total machinery and equipment cost</t>
  </si>
  <si>
    <t>Labor for budwood collection</t>
  </si>
  <si>
    <t>Total cost labor for brush removal</t>
  </si>
  <si>
    <t>Total cost labor for limb removal</t>
  </si>
  <si>
    <t>Total cost labor for budwood collection</t>
  </si>
  <si>
    <t>Storage cost for budwood</t>
  </si>
  <si>
    <t>Total cost for grafting preparation</t>
  </si>
  <si>
    <t>price (per bushel)</t>
  </si>
  <si>
    <t>Average expected</t>
  </si>
  <si>
    <t>Additional grower supplied items</t>
  </si>
  <si>
    <t>Total grafting year cost</t>
  </si>
  <si>
    <t>Other production costs</t>
  </si>
  <si>
    <t>Nurse limb removal</t>
  </si>
  <si>
    <t>Total graft braiding prep cost</t>
  </si>
  <si>
    <t>Total nurse limb removal cost</t>
  </si>
  <si>
    <t>Nurse limb harvest cost</t>
  </si>
  <si>
    <t>Harvest cost per bushel</t>
  </si>
  <si>
    <t>Labor rate per hour (including fringe)</t>
  </si>
  <si>
    <r>
      <t>Percentage</t>
    </r>
    <r>
      <rPr>
        <b/>
        <vertAlign val="superscript"/>
        <sz val="11"/>
        <color theme="1"/>
        <rFont val="Calibri"/>
        <family val="2"/>
        <scheme val="minor"/>
      </rPr>
      <t>2</t>
    </r>
  </si>
  <si>
    <r>
      <t>per hour</t>
    </r>
    <r>
      <rPr>
        <b/>
        <vertAlign val="superscript"/>
        <sz val="11"/>
        <color theme="1"/>
        <rFont val="Calibri"/>
        <family val="2"/>
        <scheme val="minor"/>
      </rPr>
      <t>4</t>
    </r>
  </si>
  <si>
    <t>Total graft training cost</t>
  </si>
  <si>
    <t>Income</t>
  </si>
  <si>
    <t>cost</t>
  </si>
  <si>
    <t>Harvest</t>
  </si>
  <si>
    <t>Gross</t>
  </si>
  <si>
    <t>Net</t>
  </si>
  <si>
    <t>Replanted orchard</t>
  </si>
  <si>
    <t>Total cost/acre</t>
  </si>
  <si>
    <t>Year after grafting</t>
  </si>
  <si>
    <t>Projected gross income</t>
  </si>
  <si>
    <t>costs</t>
  </si>
  <si>
    <t>Cumulative</t>
  </si>
  <si>
    <t>Old cultivar</t>
  </si>
  <si>
    <t>no crop; grafting</t>
  </si>
  <si>
    <t>no crop; fruit removal</t>
  </si>
  <si>
    <t>no crop; planting or fruit removal</t>
  </si>
  <si>
    <t>Use my values in the "Your Estimate" column for orchard planting cost</t>
  </si>
  <si>
    <t>Enter your costs for tree planting or use the estimated cost planting a medium-density or high-density orchard from the 2024-25 TFPG</t>
  </si>
  <si>
    <t>Enter an "x" in the apropriate box below to choose values for planting for a new orchard:</t>
  </si>
  <si>
    <t>TFPG Table 9-2. Apple orchard planting budgets, medium- and high-density orchards, Pennsylvania, 2024. Summary of estimated costs per acre.</t>
  </si>
  <si>
    <t>TFPG Table 9-1. Land preparation budget, tree fruit, Pennsylvania, 2024. Summary of estimated costs per acre.</t>
  </si>
  <si>
    <t>Enter an "x" in the apropriate box below to choose values for land preparation costs for a new orchard:</t>
  </si>
  <si>
    <t>If you are using the TFPG figures, you can still add other potential costs in column F, cells 47-51.</t>
  </si>
  <si>
    <t>Step:</t>
  </si>
  <si>
    <t>Potential range</t>
  </si>
  <si>
    <t>0-2 hrs</t>
  </si>
  <si>
    <t>0-4 hrs</t>
  </si>
  <si>
    <t>24-48 hrs</t>
  </si>
  <si>
    <t>12-32 hrs</t>
  </si>
  <si>
    <t>50-100 hrs</t>
  </si>
  <si>
    <t>75-150 hrs</t>
  </si>
  <si>
    <t>48-320 hrs</t>
  </si>
  <si>
    <t>0-24 hrs</t>
  </si>
  <si>
    <t>0-48 hrs</t>
  </si>
  <si>
    <t>0-8 hrs</t>
  </si>
  <si>
    <t>Note: Calculated from yield estimate in "Yield &amp; Income" tab;</t>
  </si>
  <si>
    <t>Note: Should be zero if nurse limb is harvested</t>
  </si>
  <si>
    <t>should be zero if nurse limb is not harvested</t>
  </si>
  <si>
    <t>0-16 hrs</t>
  </si>
  <si>
    <t>100-400 hrs</t>
  </si>
  <si>
    <t>12-24 hrs</t>
  </si>
  <si>
    <t>100-300 hours</t>
  </si>
  <si>
    <t>Collection time</t>
  </si>
  <si>
    <t>Typical range</t>
  </si>
  <si>
    <t>Enter the amount of time per tree and/or hours per acre for resealing the grafts in the boxes below.</t>
  </si>
  <si>
    <t>Enter the amount of time per tree and/or hours per acre for tying the grafts to prepare for braiding in the boxes below.</t>
  </si>
  <si>
    <t>Enter the amount of time per tree and/or hours per acre for removing the nurse limb(s) in the boxes below.</t>
  </si>
  <si>
    <t>Enter the amount of time per tree and/or hours per acre for training the grafts in the boxes below.</t>
  </si>
  <si>
    <t>cost each</t>
  </si>
  <si>
    <t>number per tree</t>
  </si>
  <si>
    <t>Enter the cost for tree clips, ties, supports, and any other grower supplied items in the boxes below.</t>
  </si>
  <si>
    <t>Wire or other vertical graft supports</t>
  </si>
  <si>
    <t>Total tree clip, tie, and graft support cost</t>
  </si>
  <si>
    <t>Enter the cost for any other grower supplied items in the box below.</t>
  </si>
  <si>
    <t>Chainsaw(s)</t>
  </si>
  <si>
    <t>$.08-$.12 /tie</t>
  </si>
  <si>
    <t>$.15-$.18 /clip</t>
  </si>
  <si>
    <t>$.20-$.80 /tree</t>
  </si>
  <si>
    <t>Estimated</t>
  </si>
  <si>
    <t>Value</t>
  </si>
  <si>
    <t xml:space="preserve">    Salvage value percentage for implements and equipment can vary from 0% to 10% depending on the number of years you plan to use the  anticipate keeping it.</t>
  </si>
  <si>
    <t>Lifetime</t>
  </si>
  <si>
    <t>Enter your cost per hour for management, operator and hourly labor</t>
  </si>
  <si>
    <t>Enter your harvest cost per bushel</t>
  </si>
  <si>
    <t>(6 steps)</t>
  </si>
  <si>
    <t>Notes:</t>
  </si>
  <si>
    <t>Machinery and Equipment Items</t>
  </si>
  <si>
    <t>Adjust any of the following machinery cost and usage parammeters to reflect your own machinery and equipment complement</t>
  </si>
  <si>
    <t>Enter the percentage of a full crop you would expect by year in the boxes below.</t>
  </si>
  <si>
    <t>Enter the yield you expect when the block is at full production in the boxes below.</t>
  </si>
  <si>
    <t>Enter the average price you would expect to receive for your apples in the boxes below.</t>
  </si>
  <si>
    <t>Calculations:</t>
  </si>
  <si>
    <t>Enter your assumptions about yield over time and the price received per bushel for your grafting vs. planting scenario</t>
  </si>
  <si>
    <t>(3 steps)</t>
  </si>
  <si>
    <t>Set the labor, harvest, fuel, and equipmment cost parameters for your apple grafting vs. planting scenario</t>
  </si>
  <si>
    <t>Non-bearing apple budget, Pennsylvania, 2024. Summary of estimated costs per acre.</t>
  </si>
  <si>
    <t>Use default values from table below</t>
  </si>
  <si>
    <t>Use default TFPG values for land preparation cost</t>
  </si>
  <si>
    <t>Use my values in the "Your Estimate" column for land preparation cost</t>
  </si>
  <si>
    <t>Cost/Year</t>
  </si>
  <si>
    <t xml:space="preserve">If purchased, cost per whip:   </t>
  </si>
  <si>
    <t xml:space="preserve">calculated </t>
  </si>
  <si>
    <t>Enter the royalty cost per tree for the grafted cultivar in the box below.</t>
  </si>
  <si>
    <t>Enter cost to store the budwood in the box below.</t>
  </si>
  <si>
    <t xml:space="preserve">cost per tree:  </t>
  </si>
  <si>
    <t>Enter the amount of time per tree and/or hours per acre for limb removal in the boxes below.</t>
  </si>
  <si>
    <t>Enter the amount of time per tree and/or hours per acre for brush removal in the boxes below.</t>
  </si>
  <si>
    <t>Indicate the machinery used for grafting preparatation with and "x" and the number of hours of use in the boxes below.</t>
  </si>
  <si>
    <t>(9 steps)</t>
  </si>
  <si>
    <t>Grafts per whip</t>
  </si>
  <si>
    <t>Enter the number of grafts per tree in the box below.</t>
  </si>
  <si>
    <t>Number of grafts per tree</t>
  </si>
  <si>
    <t>Enter the number of trees to be grafted per acre in the box below.</t>
  </si>
  <si>
    <t>Number of trees grafted/A</t>
  </si>
  <si>
    <t>Note: Total cost for budwood collection will be set to zero if budwood is purchased</t>
  </si>
  <si>
    <t>Doing my own grafting</t>
  </si>
  <si>
    <t>Enter an "x" in the apropriate box below to indicate if you are collectiong or purchasing your budwood:</t>
  </si>
  <si>
    <t>Enter the average number of grafts to be cut per whip in the box below.</t>
  </si>
  <si>
    <t>Grafted by service</t>
  </si>
  <si>
    <t>Enter the costs for the grafting service in the boxes below.</t>
  </si>
  <si>
    <t>Note: From "Grafting Prep" tab</t>
  </si>
  <si>
    <t>Enter the amount of time spent collecting budwood in the boxes below.</t>
  </si>
  <si>
    <t>Enter the amount of time per tree and/or hours per acre for grafting in the boxes below.</t>
  </si>
  <si>
    <t>Enter the additional amount of time per tree and/or hours per acre supplied by grower at grafting time in the boxes below.</t>
  </si>
  <si>
    <t xml:space="preserve">Extension Team: </t>
  </si>
  <si>
    <t>Tool Version:</t>
  </si>
  <si>
    <t xml:space="preserve">Author: </t>
  </si>
  <si>
    <t>Last Updated:</t>
  </si>
  <si>
    <t xml:space="preserve">Contact Email: </t>
  </si>
  <si>
    <t>Website:</t>
  </si>
  <si>
    <t>Description:</t>
  </si>
  <si>
    <t xml:space="preserve">User Instructions: </t>
  </si>
  <si>
    <t>Acknowledgement of Risk:</t>
  </si>
  <si>
    <t>Tree Fruit</t>
  </si>
  <si>
    <t>Jayson Harper and Lynn Kime</t>
  </si>
  <si>
    <t>jkh4@psu.edu</t>
  </si>
  <si>
    <t>Possible yield scenarios to consider</t>
  </si>
  <si>
    <t>full crop (or declining yield?)</t>
  </si>
  <si>
    <t>Note: if nurse limb is to be cropped, place yield estimate for old cultivar in year 1 under "Grafted Trees"</t>
  </si>
  <si>
    <t>Enter the amount of time per tree and/or hours per acre for fruit removal from the nurse limb in the boxes below.</t>
  </si>
  <si>
    <t>Also, enter any cost for chemical fruit removal:</t>
  </si>
  <si>
    <t xml:space="preserve">  Bee rental</t>
  </si>
  <si>
    <t>hive</t>
  </si>
  <si>
    <t>1. Includes irrigation system.</t>
  </si>
  <si>
    <t>Enter your production costs for a bearing orchard or use the estimated cost from the 2024-25 TFPG</t>
  </si>
  <si>
    <t>Use TFPG values for production cost</t>
  </si>
  <si>
    <t>Use my values in the "Your Estimate" column for production cost</t>
  </si>
  <si>
    <t xml:space="preserve">Cost used </t>
  </si>
  <si>
    <t>for analysis:</t>
  </si>
  <si>
    <t>Intermediate production year apple budget, Pennsylvania, 2024. Summary of estimated costs per acre.</t>
  </si>
  <si>
    <t>Fuel &amp; oil cost</t>
  </si>
  <si>
    <t>Diesel (s/gal)</t>
  </si>
  <si>
    <t>Gasoline ($/gal)</t>
  </si>
  <si>
    <t xml:space="preserve">Enter your cost for fuel and 2-cycle oil </t>
  </si>
  <si>
    <t>Enter the intrest rate you'd like to use for your grafting analysis</t>
  </si>
  <si>
    <t>Interest rate</t>
  </si>
  <si>
    <t>Note: This interest rate will be used for calculating annual interest</t>
  </si>
  <si>
    <t xml:space="preserve"> amounts and discounting future cash-flows</t>
  </si>
  <si>
    <t>2-cycle oil ($/gal mixed)</t>
  </si>
  <si>
    <r>
      <t>Percentage</t>
    </r>
    <r>
      <rPr>
        <b/>
        <vertAlign val="superscript"/>
        <sz val="11"/>
        <color theme="1"/>
        <rFont val="Calibri"/>
        <family val="2"/>
        <scheme val="minor"/>
      </rPr>
      <t>1</t>
    </r>
  </si>
  <si>
    <r>
      <t>per hour</t>
    </r>
    <r>
      <rPr>
        <b/>
        <vertAlign val="superscript"/>
        <sz val="11"/>
        <color theme="1"/>
        <rFont val="Calibri"/>
        <family val="2"/>
        <scheme val="minor"/>
      </rPr>
      <t>3</t>
    </r>
  </si>
  <si>
    <t xml:space="preserve">1. Salvage value percentage for power machinery is typically 10% to 20% deppending on the number of years you plan to own the machine. </t>
  </si>
  <si>
    <t>2. Estimated lifetime total repairs and maintenance costs as a percentage of initial cost (from American Society of Agricultural Enginners Standard D497.4, "Agricultural Machinery Management Data")</t>
  </si>
  <si>
    <t>3. Typical diesel fuel consumption per hour is .044 gal x horsepower (Nebraska Tractor Test data).  Chainsaw fuel consumption 6 oz/hour.</t>
  </si>
  <si>
    <t>4. A commonly used proxy for lubrication cost is .006 x fuel cost per hour</t>
  </si>
  <si>
    <t>Top-Working Decision Workbook</t>
  </si>
  <si>
    <t>Done-go to next tab</t>
  </si>
  <si>
    <t>Number of trees per acre</t>
  </si>
  <si>
    <t>2) Each tab is set up as a number of data entry steps which allow you to customize the analysis to your particular situation.</t>
  </si>
  <si>
    <r>
      <rPr>
        <u/>
        <sz val="11"/>
        <color theme="1"/>
        <rFont val="Arial"/>
        <family val="2"/>
      </rPr>
      <t>Workbook tabs</t>
    </r>
    <r>
      <rPr>
        <sz val="11"/>
        <color theme="1"/>
        <rFont val="Arial"/>
        <family val="2"/>
      </rPr>
      <t>:</t>
    </r>
  </si>
  <si>
    <t>10+</t>
  </si>
  <si>
    <t xml:space="preserve"> "Yield &amp; income projections" tab (see "Financial comparison" tab)</t>
  </si>
  <si>
    <t>&lt;===</t>
  </si>
  <si>
    <t>no crop; land preparation and/or planting</t>
  </si>
  <si>
    <t>Note: Interest on operating capital was calculated based on interest rate in "Paramters" tab</t>
  </si>
  <si>
    <t>Enter the tree density (TPA) in either cell E19 for medium-density or G19 for high-density.</t>
  </si>
  <si>
    <t>harvest cost/bu in "Parameters" tab and yield information provided in</t>
  </si>
  <si>
    <t xml:space="preserve">Note: Total harvest cost is automatically calculated based on </t>
  </si>
  <si>
    <t>Pruning cost ($/tree)</t>
  </si>
  <si>
    <t>Enter estimated pruning cost for your current orchard, grafted orchard, and replanted orchard</t>
  </si>
  <si>
    <t>1) This workbook is comprised of 12 spreadsheets contained in the tabs at the bottom of the page.</t>
  </si>
  <si>
    <t>Current orchard</t>
  </si>
  <si>
    <t>Grafted orchard</t>
  </si>
  <si>
    <t>Enter an "x" in the apropriate box below to indicate if you are using a grafting service or doing the grafting yourself:</t>
  </si>
  <si>
    <t xml:space="preserve">Pruning </t>
  </si>
  <si>
    <t>Interest</t>
  </si>
  <si>
    <t>capital</t>
  </si>
  <si>
    <t>on oper.</t>
  </si>
  <si>
    <t>Land Prep</t>
  </si>
  <si>
    <t>IRR =</t>
  </si>
  <si>
    <t xml:space="preserve">Note: Interest on operating capital is calculated automatically </t>
  </si>
  <si>
    <t>based on interest rate in "Paramters" tab  (see "Financial comparison" tab)</t>
  </si>
  <si>
    <t xml:space="preserve">Note: Pruning cost is automatically calculated based on pruning cost/tree in "Parameters" </t>
  </si>
  <si>
    <t>tab and the number of trees per acre (TPA) (see "Financial comparison" tab)</t>
  </si>
  <si>
    <t>Note: Only includes cost of grafting activities; production costs will be added from either the</t>
  </si>
  <si>
    <t>"Non-bearing"or "Intermediate year" tabs depending on whether the nurse limb is cropped.</t>
  </si>
  <si>
    <t>Year after grafting additional costs</t>
  </si>
  <si>
    <t xml:space="preserve">Total cost used </t>
  </si>
  <si>
    <t>cost:</t>
  </si>
  <si>
    <t>Fixed</t>
  </si>
  <si>
    <t>specified</t>
  </si>
  <si>
    <t>NPV (10 years)</t>
  </si>
  <si>
    <t>NPV (15 years)</t>
  </si>
  <si>
    <t xml:space="preserve">NPV (20 years) </t>
  </si>
  <si>
    <t>Cash flows: Old cultivar</t>
  </si>
  <si>
    <t>Cash flows: Grafted trees</t>
  </si>
  <si>
    <t>Cash flows: Replanted orchard</t>
  </si>
  <si>
    <t>Replanting Costs:</t>
  </si>
  <si>
    <t>Grafting Costs:</t>
  </si>
  <si>
    <t>(7 steps)</t>
  </si>
  <si>
    <t>(2 steps)</t>
  </si>
  <si>
    <t>cash flow</t>
  </si>
  <si>
    <t>Enter your costs for maintaining a intermediate yield orchard (per acre) or use the default values</t>
  </si>
  <si>
    <t>Enter your costs for maintaining a non-bearing orchard (per acre) or use the default values</t>
  </si>
  <si>
    <t>If you are using your own values, please enter the cost data in the boxes in column I (boxes in cell range 17-53).</t>
  </si>
  <si>
    <t>If you are using your own values, please enter the cost data in the boxes in column G (boxes in cell range 16-54).</t>
  </si>
  <si>
    <t>If you are using your own values, please enter the cost data in the boxes in column G (boxes in cell range 16-48).</t>
  </si>
  <si>
    <t>If you are using your own values, please enter the cost data in the boxes in column I (boxes in cell range 20-55).</t>
  </si>
  <si>
    <t>If you are using the TFPG values, please enter the tree density (TPA) in either cell E20 for medium-density or G20 for high-density.</t>
  </si>
  <si>
    <t>If you are using your own values, please enter the cost data in column G (boxes in cell range 18-51).</t>
  </si>
  <si>
    <t>Financial Comparisons of keeping the old cultivar, grafting a new cultivar, and replanting the orchard</t>
  </si>
  <si>
    <r>
      <t>→ "</t>
    </r>
    <r>
      <rPr>
        <u/>
        <sz val="11"/>
        <color theme="1"/>
        <rFont val="Arial"/>
        <family val="2"/>
      </rPr>
      <t>Parameters</t>
    </r>
    <r>
      <rPr>
        <sz val="11"/>
        <color theme="1"/>
        <rFont val="Arial"/>
        <family val="2"/>
      </rPr>
      <t>" tab collects information on interest rates, labor costs, harvest costs, pruning costs, fuel prices, and machinery usage.</t>
    </r>
  </si>
  <si>
    <r>
      <t>→ "</t>
    </r>
    <r>
      <rPr>
        <u/>
        <sz val="11"/>
        <color theme="1"/>
        <rFont val="Arial"/>
        <family val="2"/>
      </rPr>
      <t>Yield &amp; income projections</t>
    </r>
    <r>
      <rPr>
        <sz val="11"/>
        <color theme="1"/>
        <rFont val="Arial"/>
        <family val="2"/>
      </rPr>
      <t>" tab collects information on the projected yields and prices to be used for the comparisons.</t>
    </r>
  </si>
  <si>
    <r>
      <t>→ "</t>
    </r>
    <r>
      <rPr>
        <u/>
        <sz val="11"/>
        <color theme="1"/>
        <rFont val="Arial"/>
        <family val="2"/>
      </rPr>
      <t>Grafting prep</t>
    </r>
    <r>
      <rPr>
        <sz val="11"/>
        <color theme="1"/>
        <rFont val="Arial"/>
        <family val="2"/>
      </rPr>
      <t>" tab collects information on the number of grafts and amount of time to required to complete the various steps to get the trees ready for grafting.</t>
    </r>
  </si>
  <si>
    <r>
      <t>→ "</t>
    </r>
    <r>
      <rPr>
        <u/>
        <sz val="11"/>
        <color theme="1"/>
        <rFont val="Arial"/>
        <family val="2"/>
      </rPr>
      <t>Year after Grafting</t>
    </r>
    <r>
      <rPr>
        <sz val="11"/>
        <color theme="1"/>
        <rFont val="Arial"/>
        <family val="2"/>
      </rPr>
      <t>" tab collects information about time required for resealing grafts, training and tying of grafts, and nurse limb removal.</t>
    </r>
  </si>
  <si>
    <t xml:space="preserve">3) In some cases, you can select a default values rather than enter your won numbers.  However, to get the most accurate results you should use your own values for this important financial decision.  For many of the grafting questions, a range of values based on grower interviews is provided to help you think through the process.  These numbers vary greatly from grower to grower and are meant only for guidance. </t>
  </si>
  <si>
    <r>
      <t>→ "</t>
    </r>
    <r>
      <rPr>
        <u/>
        <sz val="11"/>
        <color theme="1"/>
        <rFont val="Arial"/>
        <family val="2"/>
      </rPr>
      <t>Non-bearing year</t>
    </r>
    <r>
      <rPr>
        <sz val="11"/>
        <color theme="1"/>
        <rFont val="Arial"/>
        <family val="2"/>
      </rPr>
      <t>" tab collects data on the cost of maintaining a non-bearing orchard including training and fruit removal costs.</t>
    </r>
  </si>
  <si>
    <r>
      <t>→ "</t>
    </r>
    <r>
      <rPr>
        <u/>
        <sz val="11"/>
        <color theme="1"/>
        <rFont val="Arial"/>
        <family val="2"/>
      </rPr>
      <t>Intermediate year</t>
    </r>
    <r>
      <rPr>
        <sz val="11"/>
        <color theme="1"/>
        <rFont val="Arial"/>
        <family val="2"/>
      </rPr>
      <t>" tab collects data on the cost of maintaining and harvesting an immature orchard.  Harvest cost will be adjusted in the cost flow estimates reflecting the data provided in the "Yield &amp; income projections" tab.</t>
    </r>
  </si>
  <si>
    <r>
      <t>→ "</t>
    </r>
    <r>
      <rPr>
        <u/>
        <sz val="11"/>
        <color theme="1"/>
        <rFont val="Arial"/>
        <family val="2"/>
      </rPr>
      <t>Mature year</t>
    </r>
    <r>
      <rPr>
        <sz val="11"/>
        <color theme="1"/>
        <rFont val="Arial"/>
        <family val="2"/>
      </rPr>
      <t>" tab collects data on the cost of maintaining and harvesting a mature orchard.  Harvest cost will be adjusted in the cost flow estimates reflecting the data provided in the "Yield &amp; income projections" tab.</t>
    </r>
  </si>
  <si>
    <r>
      <t>→ "</t>
    </r>
    <r>
      <rPr>
        <u/>
        <sz val="11"/>
        <color theme="1"/>
        <rFont val="Arial"/>
        <family val="2"/>
      </rPr>
      <t>Financial comparisons</t>
    </r>
    <r>
      <rPr>
        <sz val="11"/>
        <color theme="1"/>
        <rFont val="Arial"/>
        <family val="2"/>
      </rPr>
      <t>" tab compares the estimated cash flows from the "do nothing", "top-working", and "replanting" options.   The financial investment measures net present value, internal rate of return, and cumulative cash flows are presented to help you determine which option is the best choice for your operation.</t>
    </r>
  </si>
  <si>
    <t>(bushels/A)</t>
  </si>
  <si>
    <t>This workbook can be used to help you evaluate whether top-working an established apple block to another cultivar is economical.  It estimates the cost of the various steps in the grafting process and compares them with the alternative of purchasing new trees, preparing the site, and replanting the orchard.</t>
  </si>
  <si>
    <t>This analysis is conducted on a one-acre basis.  The data are collected in various spreadsheets which are then are used to calculate yearly cash flow estimates over the life of each alternative.  The cash-flows are then used to generate various investment performance measures including net present value, internal rate of return, and cumulative cash flow to help you decide if top-working is a financially viable alternative to replanting.  Top-working and replanting are also compared to the alternative of keeping the existing orchard (the "do nothing" option).</t>
  </si>
  <si>
    <r>
      <t>→ "</t>
    </r>
    <r>
      <rPr>
        <u/>
        <sz val="11"/>
        <color theme="1"/>
        <rFont val="Arial"/>
        <family val="2"/>
      </rPr>
      <t>Grafting</t>
    </r>
    <r>
      <rPr>
        <sz val="11"/>
        <color theme="1"/>
        <rFont val="Arial"/>
        <family val="2"/>
      </rPr>
      <t>" tab collects information about whether you are doing the grafting yourself or having a service do it for you.  It also collects data on time spent on post-graft care and nurse limb management.</t>
    </r>
  </si>
  <si>
    <r>
      <t>→ "</t>
    </r>
    <r>
      <rPr>
        <u/>
        <sz val="11"/>
        <color theme="1"/>
        <rFont val="Arial"/>
        <family val="2"/>
      </rPr>
      <t>Land prep</t>
    </r>
    <r>
      <rPr>
        <sz val="11"/>
        <color theme="1"/>
        <rFont val="Arial"/>
        <family val="2"/>
      </rPr>
      <t>" tab collects data on the cost of removing trees and preparing the land for replanting.  You have the option of using TFPG budgets or adjusting the costs to fit your own situation.</t>
    </r>
  </si>
  <si>
    <r>
      <t>→ "</t>
    </r>
    <r>
      <rPr>
        <u/>
        <sz val="11"/>
        <color theme="1"/>
        <rFont val="Arial"/>
        <family val="2"/>
      </rPr>
      <t>Planting</t>
    </r>
    <r>
      <rPr>
        <sz val="11"/>
        <color theme="1"/>
        <rFont val="Arial"/>
        <family val="2"/>
      </rPr>
      <t>" tab collects data on the cost of planting either a medium or high density orchard.  You have the option of using TFPG budgets or adjusting the costs to fit your own situation.</t>
    </r>
  </si>
  <si>
    <t>Top-Working</t>
  </si>
  <si>
    <t xml:space="preserve">Project Funding: </t>
  </si>
  <si>
    <t>This workbook is provided for general informational purposes only.  The Pennsylvania State University shall have no liability whatsoever for the use of or reliance on this workbook.</t>
  </si>
  <si>
    <t>Enter information about your grafting preparation activities</t>
  </si>
  <si>
    <t>Enter information about your grafting year activities</t>
  </si>
  <si>
    <t>Enter information about your year after grafting activities</t>
  </si>
  <si>
    <t>Financial support for the development of this workbook was provided through an Extension grant from the State Horticultural Association of Pennsylvania: Orchard Replacement Strategies: The Economics and Procedures for Grafting (OSP: #236472)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</si>
</sst>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quot;$&quot;#,##0.00"/>
    <numFmt numFmtId="165" formatCode="#,##0.0"/>
    <numFmt numFmtId="166" formatCode="&quot;$&quot;#,##0"/>
    <numFmt numFmtId="167" formatCode="0.0%"/>
    <numFmt numFmtId="168" formatCode="0.0"/>
    <numFmt numFmtId="169" formatCode=";;;"/>
  </numFmts>
  <fonts count="36"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2"/>
      <color theme="1"/>
      <name val="Calibri"/>
      <family val="2"/>
      <scheme val="minor"/>
    </font>
    <font>
      <sz val="11"/>
      <color theme="1"/>
      <name val="Calibri"/>
      <family val="2"/>
      <scheme val="minor"/>
    </font>
    <font>
      <sz val="11"/>
      <color theme="1"/>
      <name val="Calibri"/>
      <family val="2"/>
    </font>
    <font>
      <sz val="11"/>
      <name val="Calibri"/>
      <family val="2"/>
      <scheme val="minor"/>
    </font>
    <font>
      <b/>
      <sz val="11"/>
      <color rgb="FFFF0000"/>
      <name val="Calibri"/>
      <family val="2"/>
      <scheme val="minor"/>
    </font>
    <font>
      <sz val="11"/>
      <color rgb="FFFF0000"/>
      <name val="Calibri"/>
      <family val="2"/>
      <scheme val="minor"/>
    </font>
    <font>
      <b/>
      <sz val="14"/>
      <color rgb="FFFF0000"/>
      <name val="Calibri"/>
      <family val="2"/>
      <scheme val="minor"/>
    </font>
    <font>
      <b/>
      <vertAlign val="superscript"/>
      <sz val="11"/>
      <color theme="1"/>
      <name val="Calibri"/>
      <family val="2"/>
      <scheme val="minor"/>
    </font>
    <font>
      <b/>
      <sz val="14"/>
      <name val="Calibri"/>
      <family val="2"/>
      <scheme val="minor"/>
    </font>
    <font>
      <b/>
      <u/>
      <sz val="11"/>
      <color theme="1"/>
      <name val="Calibri"/>
      <family val="2"/>
      <scheme val="minor"/>
    </font>
    <font>
      <i/>
      <sz val="11"/>
      <color theme="1"/>
      <name val="Calibri"/>
      <family val="2"/>
      <scheme val="minor"/>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sz val="12"/>
      <color theme="1"/>
      <name val="Calibri"/>
      <family val="2"/>
      <scheme val="minor"/>
    </font>
    <font>
      <b/>
      <sz val="12"/>
      <color theme="1"/>
      <name val="Arial"/>
      <family val="2"/>
    </font>
    <font>
      <u/>
      <sz val="11"/>
      <color theme="10"/>
      <name val="Calibri"/>
      <family val="2"/>
      <scheme val="minor"/>
    </font>
    <font>
      <sz val="9"/>
      <color theme="1"/>
      <name val="Calibri"/>
      <family val="2"/>
      <scheme val="minor"/>
    </font>
    <font>
      <b/>
      <i/>
      <sz val="11"/>
      <color rgb="FFFF0000"/>
      <name val="Calibri"/>
      <family val="2"/>
      <scheme val="minor"/>
    </font>
    <font>
      <b/>
      <sz val="11"/>
      <color rgb="FF009E47"/>
      <name val="Calibri"/>
      <family val="2"/>
      <scheme val="minor"/>
    </font>
    <font>
      <b/>
      <i/>
      <sz val="11"/>
      <color rgb="FF00B0F0"/>
      <name val="Calibri"/>
      <family val="2"/>
      <scheme val="minor"/>
    </font>
    <font>
      <b/>
      <sz val="10"/>
      <color theme="1"/>
      <name val="Calibri"/>
      <family val="2"/>
      <scheme val="minor"/>
    </font>
    <font>
      <b/>
      <i/>
      <sz val="10"/>
      <color theme="1"/>
      <name val="Arial"/>
      <family val="2"/>
    </font>
    <font>
      <u/>
      <sz val="11"/>
      <color theme="1"/>
      <name val="Arial"/>
      <family val="2"/>
    </font>
    <font>
      <b/>
      <sz val="11"/>
      <name val="Calibri"/>
      <family val="2"/>
      <scheme val="minor"/>
    </font>
    <font>
      <b/>
      <sz val="16"/>
      <color rgb="FFFF0000"/>
      <name val="Calibri"/>
      <family val="2"/>
      <scheme val="minor"/>
    </font>
    <font>
      <b/>
      <sz val="11"/>
      <color rgb="FF00B0F0"/>
      <name val="Calibri"/>
      <family val="2"/>
      <scheme val="minor"/>
    </font>
    <font>
      <sz val="10"/>
      <color rgb="FF009E47"/>
      <name val="Calibri"/>
      <family val="2"/>
      <scheme val="minor"/>
    </font>
    <font>
      <sz val="10"/>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rgb="FF92D050"/>
        <bgColor indexed="64"/>
      </patternFill>
    </fill>
  </fills>
  <borders count="24">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ck">
        <color auto="1"/>
      </right>
      <top/>
      <bottom/>
      <diagonal/>
    </border>
    <border>
      <left/>
      <right style="thick">
        <color auto="1"/>
      </right>
      <top style="thin">
        <color auto="1"/>
      </top>
      <bottom style="thin">
        <color auto="1"/>
      </bottom>
      <diagonal/>
    </border>
    <border>
      <left/>
      <right style="thick">
        <color auto="1"/>
      </right>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double">
        <color rgb="FFFF0000"/>
      </top>
      <bottom style="double">
        <color rgb="FFFF0000"/>
      </bottom>
      <diagonal/>
    </border>
    <border>
      <left/>
      <right/>
      <top style="medium">
        <color indexed="64"/>
      </top>
      <bottom/>
      <diagonal/>
    </border>
    <border>
      <left/>
      <right style="medium">
        <color indexed="64"/>
      </right>
      <top/>
      <bottom/>
      <diagonal/>
    </border>
  </borders>
  <cellStyleXfs count="4">
    <xf numFmtId="0" fontId="0" fillId="0" borderId="0"/>
    <xf numFmtId="9" fontId="5" fillId="0" borderId="0" applyFont="0" applyFill="0" applyBorder="0" applyAlignment="0" applyProtection="0"/>
    <xf numFmtId="0" fontId="20" fillId="0" borderId="0"/>
    <xf numFmtId="0" fontId="22" fillId="0" borderId="0" applyNumberFormat="0" applyFill="0" applyBorder="0" applyAlignment="0" applyProtection="0"/>
  </cellStyleXfs>
  <cellXfs count="165">
    <xf numFmtId="0" fontId="0" fillId="0" borderId="0" xfId="0"/>
    <xf numFmtId="0" fontId="0" fillId="0" borderId="0" xfId="0" applyAlignment="1">
      <alignment horizontal="center"/>
    </xf>
    <xf numFmtId="0" fontId="1" fillId="0" borderId="0" xfId="0" applyFont="1" applyAlignment="1">
      <alignment horizontal="center"/>
    </xf>
    <xf numFmtId="3" fontId="0" fillId="0" borderId="0" xfId="0" applyNumberFormat="1" applyAlignment="1">
      <alignment horizontal="center"/>
    </xf>
    <xf numFmtId="164" fontId="0" fillId="0" borderId="0" xfId="0" applyNumberFormat="1"/>
    <xf numFmtId="164"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right"/>
    </xf>
    <xf numFmtId="164" fontId="1" fillId="0" borderId="0" xfId="0" applyNumberFormat="1" applyFont="1" applyAlignment="1">
      <alignment horizontal="center"/>
    </xf>
    <xf numFmtId="164" fontId="1" fillId="0" borderId="0" xfId="0" applyNumberFormat="1" applyFont="1"/>
    <xf numFmtId="164" fontId="0" fillId="0" borderId="0" xfId="0" applyNumberFormat="1" applyAlignment="1">
      <alignment horizontal="left"/>
    </xf>
    <xf numFmtId="49" fontId="0" fillId="0" borderId="0" xfId="0" applyNumberFormat="1" applyAlignment="1">
      <alignment horizontal="center"/>
    </xf>
    <xf numFmtId="0" fontId="3" fillId="0" borderId="0" xfId="0" applyFont="1" applyAlignment="1">
      <alignment horizontal="right"/>
    </xf>
    <xf numFmtId="164" fontId="3" fillId="0" borderId="0" xfId="0" applyNumberFormat="1" applyFont="1" applyAlignment="1">
      <alignment horizontal="center"/>
    </xf>
    <xf numFmtId="0" fontId="2" fillId="0" borderId="0" xfId="0" applyFont="1"/>
    <xf numFmtId="164" fontId="7" fillId="0" borderId="0" xfId="0" applyNumberFormat="1" applyFont="1" applyAlignment="1">
      <alignment horizontal="center"/>
    </xf>
    <xf numFmtId="0" fontId="0" fillId="0" borderId="0" xfId="0" applyAlignment="1">
      <alignment horizontal="right"/>
    </xf>
    <xf numFmtId="4" fontId="0" fillId="0" borderId="0" xfId="0" applyNumberFormat="1"/>
    <xf numFmtId="4"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8" fillId="0" borderId="0" xfId="0" applyFont="1"/>
    <xf numFmtId="0" fontId="2" fillId="0" borderId="0" xfId="0" applyFont="1" applyAlignment="1">
      <alignment horizontal="left"/>
    </xf>
    <xf numFmtId="0" fontId="8" fillId="0" borderId="0" xfId="0" applyFont="1" applyAlignment="1">
      <alignment horizontal="center"/>
    </xf>
    <xf numFmtId="0" fontId="9" fillId="0" borderId="0" xfId="0" applyFont="1"/>
    <xf numFmtId="1" fontId="7" fillId="0" borderId="0" xfId="0" applyNumberFormat="1" applyFont="1" applyAlignment="1">
      <alignment horizontal="center"/>
    </xf>
    <xf numFmtId="3" fontId="1" fillId="0" borderId="0" xfId="0" applyNumberFormat="1" applyFont="1" applyAlignment="1">
      <alignment horizontal="center"/>
    </xf>
    <xf numFmtId="4" fontId="0" fillId="0" borderId="0" xfId="0" applyNumberFormat="1" applyAlignment="1">
      <alignment horizontal="left"/>
    </xf>
    <xf numFmtId="166" fontId="1" fillId="0" borderId="0" xfId="0" applyNumberFormat="1" applyFont="1" applyAlignment="1">
      <alignment horizontal="center"/>
    </xf>
    <xf numFmtId="4" fontId="1" fillId="0" borderId="0" xfId="0" applyNumberFormat="1" applyFont="1"/>
    <xf numFmtId="166" fontId="0" fillId="0" borderId="0" xfId="0" applyNumberFormat="1"/>
    <xf numFmtId="165" fontId="8" fillId="0" borderId="0" xfId="0" applyNumberFormat="1" applyFont="1" applyAlignment="1">
      <alignment horizontal="center"/>
    </xf>
    <xf numFmtId="0" fontId="4" fillId="0" borderId="0" xfId="0" applyFont="1" applyAlignment="1">
      <alignment horizontal="center"/>
    </xf>
    <xf numFmtId="0" fontId="3" fillId="0" borderId="0" xfId="0" applyFont="1"/>
    <xf numFmtId="0" fontId="10" fillId="0" borderId="0" xfId="0" applyFont="1"/>
    <xf numFmtId="165" fontId="1" fillId="0" borderId="0" xfId="0" applyNumberFormat="1" applyFont="1"/>
    <xf numFmtId="166" fontId="0" fillId="0" borderId="0" xfId="0" applyNumberFormat="1" applyAlignment="1">
      <alignment horizontal="center"/>
    </xf>
    <xf numFmtId="0" fontId="1" fillId="0" borderId="0" xfId="0" applyFont="1" applyAlignment="1">
      <alignment horizontal="center" wrapText="1"/>
    </xf>
    <xf numFmtId="3" fontId="0" fillId="0" borderId="0" xfId="0" applyNumberFormat="1"/>
    <xf numFmtId="165" fontId="0" fillId="0" borderId="0" xfId="0" applyNumberFormat="1"/>
    <xf numFmtId="165" fontId="1" fillId="0" borderId="0" xfId="0" applyNumberFormat="1" applyFont="1" applyAlignment="1">
      <alignment horizontal="center"/>
    </xf>
    <xf numFmtId="9" fontId="0" fillId="0" borderId="0" xfId="0" applyNumberFormat="1"/>
    <xf numFmtId="0" fontId="10" fillId="0" borderId="0" xfId="0" applyFont="1" applyAlignment="1">
      <alignment horizontal="left"/>
    </xf>
    <xf numFmtId="166" fontId="1" fillId="0" borderId="8" xfId="0" applyNumberFormat="1" applyFont="1" applyBorder="1" applyAlignment="1">
      <alignment horizontal="center"/>
    </xf>
    <xf numFmtId="0" fontId="12" fillId="0" borderId="0" xfId="0" applyFont="1"/>
    <xf numFmtId="164" fontId="8" fillId="0" borderId="0" xfId="0" applyNumberFormat="1" applyFont="1"/>
    <xf numFmtId="0" fontId="8" fillId="0" borderId="0" xfId="0" applyFont="1" applyAlignment="1">
      <alignment horizontal="right"/>
    </xf>
    <xf numFmtId="164" fontId="8" fillId="0" borderId="0" xfId="0" applyNumberFormat="1" applyFont="1" applyAlignment="1">
      <alignment horizontal="right"/>
    </xf>
    <xf numFmtId="49" fontId="8" fillId="0" borderId="0" xfId="0" applyNumberFormat="1" applyFont="1"/>
    <xf numFmtId="49" fontId="8" fillId="0" borderId="0" xfId="0" applyNumberFormat="1" applyFont="1" applyAlignment="1">
      <alignment horizontal="center"/>
    </xf>
    <xf numFmtId="49" fontId="8" fillId="0" borderId="0" xfId="0" quotePrefix="1" applyNumberFormat="1" applyFont="1" applyAlignment="1">
      <alignment horizontal="center"/>
    </xf>
    <xf numFmtId="0" fontId="8" fillId="0" borderId="0" xfId="0" applyFont="1" applyAlignment="1">
      <alignment horizontal="left"/>
    </xf>
    <xf numFmtId="0" fontId="13" fillId="0" borderId="0" xfId="0" applyFont="1"/>
    <xf numFmtId="164" fontId="8" fillId="0" borderId="0" xfId="0" applyNumberFormat="1" applyFont="1" applyAlignment="1">
      <alignment horizontal="center"/>
    </xf>
    <xf numFmtId="3" fontId="1" fillId="0" borderId="0" xfId="0" applyNumberFormat="1" applyFont="1" applyAlignment="1">
      <alignment horizontal="center" wrapText="1"/>
    </xf>
    <xf numFmtId="0" fontId="14" fillId="0" borderId="0" xfId="0" applyFont="1"/>
    <xf numFmtId="0" fontId="23" fillId="0" borderId="0" xfId="0" applyFont="1"/>
    <xf numFmtId="0" fontId="24" fillId="0" borderId="0" xfId="0" applyFont="1"/>
    <xf numFmtId="0" fontId="25" fillId="0" borderId="0" xfId="0" applyFont="1"/>
    <xf numFmtId="0" fontId="9" fillId="0" borderId="0" xfId="0" applyFont="1" applyAlignment="1">
      <alignment horizontal="center"/>
    </xf>
    <xf numFmtId="0" fontId="26" fillId="0" borderId="0" xfId="0" applyFont="1" applyAlignment="1">
      <alignment horizontal="center"/>
    </xf>
    <xf numFmtId="164" fontId="26" fillId="0" borderId="0" xfId="0" applyNumberFormat="1" applyFont="1" applyAlignment="1">
      <alignment horizontal="center"/>
    </xf>
    <xf numFmtId="0" fontId="27" fillId="0" borderId="0" xfId="0" applyFont="1"/>
    <xf numFmtId="0" fontId="27" fillId="0" borderId="0" xfId="0" applyFont="1" applyAlignment="1">
      <alignment horizontal="left"/>
    </xf>
    <xf numFmtId="167" fontId="1" fillId="0" borderId="0" xfId="1" applyNumberFormat="1" applyFont="1" applyAlignment="1">
      <alignment horizontal="center"/>
    </xf>
    <xf numFmtId="164" fontId="0" fillId="0" borderId="0" xfId="0" applyNumberFormat="1" applyAlignment="1">
      <alignment horizontal="right"/>
    </xf>
    <xf numFmtId="164" fontId="1" fillId="0" borderId="0" xfId="0" applyNumberFormat="1" applyFont="1" applyAlignment="1">
      <alignment horizontal="right"/>
    </xf>
    <xf numFmtId="9" fontId="0" fillId="0" borderId="0" xfId="1" applyFont="1"/>
    <xf numFmtId="164" fontId="30" fillId="0" borderId="22" xfId="0" applyNumberFormat="1" applyFont="1" applyBorder="1" applyAlignment="1">
      <alignment horizontal="center"/>
    </xf>
    <xf numFmtId="164" fontId="30" fillId="0" borderId="0" xfId="0" applyNumberFormat="1" applyFont="1"/>
    <xf numFmtId="164" fontId="30" fillId="0" borderId="0" xfId="0" applyNumberFormat="1" applyFont="1" applyAlignment="1">
      <alignment horizontal="center"/>
    </xf>
    <xf numFmtId="6" fontId="27" fillId="0" borderId="0" xfId="0" applyNumberFormat="1" applyFont="1" applyAlignment="1">
      <alignment horizontal="center"/>
    </xf>
    <xf numFmtId="9" fontId="27" fillId="0" borderId="0" xfId="0" applyNumberFormat="1" applyFont="1" applyAlignment="1">
      <alignment horizontal="center"/>
    </xf>
    <xf numFmtId="166" fontId="0" fillId="0" borderId="0" xfId="0" applyNumberFormat="1" applyAlignment="1">
      <alignment horizontal="right"/>
    </xf>
    <xf numFmtId="166" fontId="0" fillId="0" borderId="1" xfId="0" applyNumberFormat="1" applyBorder="1" applyAlignment="1">
      <alignment horizontal="right"/>
    </xf>
    <xf numFmtId="166" fontId="1" fillId="0" borderId="0" xfId="0" applyNumberFormat="1" applyFont="1" applyAlignment="1">
      <alignment horizontal="right"/>
    </xf>
    <xf numFmtId="164" fontId="0" fillId="0" borderId="23" xfId="0" applyNumberFormat="1" applyBorder="1" applyAlignment="1">
      <alignment horizontal="center"/>
    </xf>
    <xf numFmtId="0" fontId="31" fillId="0" borderId="0" xfId="0" applyFont="1"/>
    <xf numFmtId="0" fontId="8" fillId="0" borderId="3" xfId="0" applyFont="1" applyBorder="1" applyAlignment="1" applyProtection="1">
      <alignment horizontal="center"/>
      <protection locked="0"/>
    </xf>
    <xf numFmtId="164" fontId="8" fillId="0" borderId="3" xfId="0" applyNumberFormat="1" applyFont="1" applyBorder="1" applyProtection="1">
      <protection locked="0"/>
    </xf>
    <xf numFmtId="169" fontId="3" fillId="0" borderId="0" xfId="0" applyNumberFormat="1" applyFont="1" applyAlignment="1">
      <alignment horizontal="center"/>
    </xf>
    <xf numFmtId="169" fontId="0" fillId="0" borderId="0" xfId="0" applyNumberFormat="1"/>
    <xf numFmtId="164" fontId="32" fillId="0" borderId="0" xfId="0" applyNumberFormat="1" applyFont="1" applyAlignment="1">
      <alignment horizontal="center"/>
    </xf>
    <xf numFmtId="166" fontId="33" fillId="0" borderId="0" xfId="0" applyNumberFormat="1" applyFont="1"/>
    <xf numFmtId="166" fontId="34" fillId="0" borderId="0" xfId="0" applyNumberFormat="1" applyFont="1"/>
    <xf numFmtId="6" fontId="33" fillId="0" borderId="0" xfId="0" applyNumberFormat="1" applyFont="1"/>
    <xf numFmtId="6" fontId="35" fillId="0" borderId="0" xfId="0" applyNumberFormat="1" applyFont="1"/>
    <xf numFmtId="166" fontId="35" fillId="0" borderId="0" xfId="0" applyNumberFormat="1" applyFont="1"/>
    <xf numFmtId="0" fontId="35" fillId="0" borderId="0" xfId="0" applyFont="1"/>
    <xf numFmtId="167" fontId="8" fillId="0" borderId="7" xfId="0" applyNumberFormat="1" applyFont="1" applyBorder="1" applyAlignment="1" applyProtection="1">
      <alignment horizontal="center"/>
      <protection locked="0"/>
    </xf>
    <xf numFmtId="164" fontId="8" fillId="0" borderId="7" xfId="0" applyNumberFormat="1" applyFont="1" applyBorder="1" applyAlignment="1" applyProtection="1">
      <alignment horizontal="center"/>
      <protection locked="0"/>
    </xf>
    <xf numFmtId="0" fontId="8" fillId="0" borderId="7" xfId="0" applyFont="1" applyBorder="1" applyAlignment="1" applyProtection="1">
      <alignment horizontal="center"/>
      <protection locked="0"/>
    </xf>
    <xf numFmtId="9" fontId="8" fillId="0" borderId="7" xfId="0" applyNumberFormat="1" applyFont="1" applyBorder="1" applyAlignment="1" applyProtection="1">
      <alignment horizontal="center"/>
      <protection locked="0"/>
    </xf>
    <xf numFmtId="9" fontId="8" fillId="0" borderId="7" xfId="1" applyFont="1" applyBorder="1" applyAlignment="1" applyProtection="1">
      <alignment horizontal="center"/>
      <protection locked="0"/>
    </xf>
    <xf numFmtId="3" fontId="8" fillId="0" borderId="7" xfId="0" applyNumberFormat="1" applyFont="1" applyBorder="1" applyAlignment="1" applyProtection="1">
      <alignment horizontal="center"/>
      <protection locked="0"/>
    </xf>
    <xf numFmtId="0" fontId="8" fillId="4" borderId="7" xfId="0" applyFont="1" applyFill="1" applyBorder="1" applyAlignment="1" applyProtection="1">
      <alignment horizontal="center"/>
      <protection locked="0"/>
    </xf>
    <xf numFmtId="3" fontId="8" fillId="0" borderId="3" xfId="0" applyNumberFormat="1" applyFont="1" applyBorder="1" applyAlignment="1" applyProtection="1">
      <alignment horizontal="center"/>
      <protection locked="0"/>
    </xf>
    <xf numFmtId="164" fontId="8" fillId="0" borderId="3" xfId="0" applyNumberFormat="1" applyFont="1" applyBorder="1" applyAlignment="1" applyProtection="1">
      <alignment horizontal="center"/>
      <protection locked="0"/>
    </xf>
    <xf numFmtId="165" fontId="8" fillId="0" borderId="4" xfId="0" applyNumberFormat="1" applyFont="1" applyBorder="1" applyAlignment="1" applyProtection="1">
      <alignment horizontal="center"/>
      <protection locked="0"/>
    </xf>
    <xf numFmtId="165" fontId="8" fillId="0" borderId="6" xfId="0" applyNumberFormat="1" applyFont="1" applyBorder="1" applyAlignment="1" applyProtection="1">
      <alignment horizontal="center"/>
      <protection locked="0"/>
    </xf>
    <xf numFmtId="165" fontId="8" fillId="0" borderId="5" xfId="0" applyNumberFormat="1"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5" xfId="0" applyFont="1" applyBorder="1" applyAlignment="1" applyProtection="1">
      <alignment horizontal="center"/>
      <protection locked="0"/>
    </xf>
    <xf numFmtId="164" fontId="8" fillId="0" borderId="4" xfId="0" applyNumberFormat="1" applyFont="1" applyBorder="1" applyAlignment="1" applyProtection="1">
      <alignment horizontal="center"/>
      <protection locked="0"/>
    </xf>
    <xf numFmtId="164" fontId="8" fillId="0" borderId="6" xfId="0" applyNumberFormat="1" applyFont="1" applyBorder="1" applyAlignment="1" applyProtection="1">
      <alignment horizontal="center"/>
      <protection locked="0"/>
    </xf>
    <xf numFmtId="164" fontId="8" fillId="0" borderId="5" xfId="0" applyNumberFormat="1" applyFont="1" applyBorder="1" applyAlignment="1" applyProtection="1">
      <alignment horizontal="center"/>
      <protection locked="0"/>
    </xf>
    <xf numFmtId="166" fontId="8" fillId="0" borderId="3" xfId="0" applyNumberFormat="1" applyFont="1" applyBorder="1" applyAlignment="1" applyProtection="1">
      <alignment horizontal="center"/>
      <protection locked="0"/>
    </xf>
    <xf numFmtId="0" fontId="0" fillId="0" borderId="0" xfId="0" applyProtection="1">
      <protection locked="0"/>
    </xf>
    <xf numFmtId="0" fontId="8" fillId="0" borderId="0" xfId="0" applyFont="1" applyProtection="1">
      <protection locked="0"/>
    </xf>
    <xf numFmtId="0" fontId="15" fillId="0" borderId="0" xfId="0" applyFont="1" applyAlignment="1">
      <alignment horizontal="center" vertical="center"/>
    </xf>
    <xf numFmtId="0" fontId="15" fillId="0" borderId="13" xfId="0" applyFont="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168" fontId="17" fillId="0" borderId="0" xfId="0" applyNumberFormat="1" applyFont="1" applyAlignment="1">
      <alignment horizontal="left" vertical="center"/>
    </xf>
    <xf numFmtId="168" fontId="17" fillId="0" borderId="13" xfId="0" applyNumberFormat="1" applyFont="1" applyBorder="1" applyAlignment="1">
      <alignment horizontal="left" vertical="center"/>
    </xf>
    <xf numFmtId="14" fontId="17" fillId="0" borderId="0" xfId="0" applyNumberFormat="1" applyFont="1" applyAlignment="1">
      <alignment horizontal="left" vertical="center"/>
    </xf>
    <xf numFmtId="0" fontId="17" fillId="0" borderId="13" xfId="0" applyFont="1" applyBorder="1" applyAlignment="1">
      <alignment horizontal="left" vertical="center"/>
    </xf>
    <xf numFmtId="0" fontId="22" fillId="0" borderId="0" xfId="3" applyBorder="1" applyAlignment="1">
      <alignment horizontal="left" vertical="center"/>
    </xf>
    <xf numFmtId="0" fontId="17" fillId="0" borderId="0" xfId="0" applyFont="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left" vertical="center" wrapText="1"/>
    </xf>
    <xf numFmtId="0" fontId="17" fillId="0" borderId="13" xfId="0" applyFont="1" applyBorder="1" applyAlignment="1">
      <alignment horizontal="left" vertical="center"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14" xfId="0" applyFont="1" applyFill="1" applyBorder="1" applyAlignment="1">
      <alignment horizontal="left" vertical="top"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4"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28" fillId="0" borderId="13" xfId="0" applyFont="1" applyBorder="1" applyAlignment="1">
      <alignment horizontal="left" vertical="center" wrapText="1"/>
    </xf>
    <xf numFmtId="0" fontId="17" fillId="0" borderId="11" xfId="0" applyFont="1" applyBorder="1" applyAlignment="1">
      <alignment horizontal="left" vertical="top" wrapText="1"/>
    </xf>
    <xf numFmtId="0" fontId="17" fillId="0" borderId="0" xfId="0" applyFont="1" applyAlignment="1">
      <alignment horizontal="left" vertical="top" wrapText="1"/>
    </xf>
    <xf numFmtId="0" fontId="17" fillId="0" borderId="13" xfId="0" applyFont="1" applyBorder="1" applyAlignment="1">
      <alignment horizontal="left" vertical="top" wrapText="1"/>
    </xf>
    <xf numFmtId="0" fontId="21" fillId="3" borderId="9"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14" xfId="2" applyFont="1" applyFill="1" applyBorder="1" applyAlignment="1">
      <alignment horizontal="left"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4" xfId="0" applyFont="1" applyBorder="1" applyAlignment="1">
      <alignment horizontal="left" vertical="center" wrapText="1"/>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7" fillId="0" borderId="11" xfId="0" applyFont="1" applyBorder="1" applyAlignment="1">
      <alignment horizontal="justify" vertical="center" wrapText="1"/>
    </xf>
    <xf numFmtId="0" fontId="17" fillId="0" borderId="0" xfId="0" applyFont="1" applyAlignment="1">
      <alignment horizontal="justify" vertical="center" wrapText="1"/>
    </xf>
    <xf numFmtId="0" fontId="17" fillId="0" borderId="13" xfId="0" applyFont="1" applyBorder="1" applyAlignment="1">
      <alignment horizontal="justify" vertical="center" wrapText="1"/>
    </xf>
    <xf numFmtId="0" fontId="17" fillId="0" borderId="12" xfId="0" applyFont="1" applyBorder="1" applyAlignment="1">
      <alignment horizontal="left" vertical="center" wrapText="1"/>
    </xf>
    <xf numFmtId="0" fontId="17" fillId="0" borderId="2" xfId="0" applyFont="1" applyBorder="1" applyAlignment="1">
      <alignment horizontal="left" vertical="center" wrapText="1"/>
    </xf>
    <xf numFmtId="0" fontId="17" fillId="0" borderId="15" xfId="0" applyFont="1" applyBorder="1" applyAlignment="1">
      <alignment horizontal="left" vertical="center" wrapText="1"/>
    </xf>
    <xf numFmtId="0" fontId="0" fillId="0" borderId="0" xfId="0" applyAlignment="1">
      <alignment horizontal="justify" vertical="center" wrapText="1"/>
    </xf>
    <xf numFmtId="0" fontId="0" fillId="0" borderId="13" xfId="0" applyBorder="1" applyAlignment="1">
      <alignment horizontal="justify" vertical="center" wrapText="1"/>
    </xf>
    <xf numFmtId="0" fontId="8" fillId="0" borderId="19" xfId="0" applyFont="1" applyBorder="1" applyAlignment="1">
      <alignment horizontal="center"/>
    </xf>
    <xf numFmtId="0" fontId="0" fillId="0" borderId="21" xfId="0" applyBorder="1"/>
    <xf numFmtId="0" fontId="0" fillId="0" borderId="20" xfId="0" applyBorder="1"/>
    <xf numFmtId="0" fontId="0" fillId="0" borderId="21" xfId="0" applyBorder="1" applyAlignment="1">
      <alignment horizontal="center"/>
    </xf>
    <xf numFmtId="0" fontId="0" fillId="0" borderId="20" xfId="0" applyBorder="1" applyAlignment="1">
      <alignment horizontal="center"/>
    </xf>
    <xf numFmtId="0" fontId="2" fillId="0" borderId="0" xfId="0" applyFont="1" applyAlignment="1">
      <alignment horizontal="center"/>
    </xf>
    <xf numFmtId="0" fontId="4" fillId="0" borderId="0" xfId="0" applyFont="1" applyAlignment="1">
      <alignment horizontal="center"/>
    </xf>
  </cellXfs>
  <cellStyles count="4">
    <cellStyle name="Hyperlink" xfId="3" builtinId="8"/>
    <cellStyle name="Normal" xfId="0" builtinId="0"/>
    <cellStyle name="Normal 2" xfId="2" xr:uid="{F26211F9-EE13-4973-AA70-9630CB46A51E}"/>
    <cellStyle name="Percent" xfId="1" builtinId="5"/>
  </cellStyles>
  <dxfs count="0"/>
  <tableStyles count="0" defaultTableStyle="TableStyleMedium2" defaultPivotStyle="PivotStyleLight16"/>
  <colors>
    <mruColors>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Expected</a:t>
            </a:r>
            <a:r>
              <a:rPr lang="en-US" baseline="0"/>
              <a:t> Yield for Alternative Production Options</a:t>
            </a:r>
            <a:endParaRPr lang="en-US"/>
          </a:p>
        </c:rich>
      </c:tx>
      <c:layout>
        <c:manualLayout>
          <c:xMode val="edge"/>
          <c:yMode val="edge"/>
          <c:x val="0.1403915738324556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'Yield &amp; income projections'!$D$38</c:f>
              <c:strCache>
                <c:ptCount val="1"/>
                <c:pt idx="0">
                  <c:v>Old cultivar</c:v>
                </c:pt>
              </c:strCache>
            </c:strRef>
          </c:tx>
          <c:spPr>
            <a:ln w="28575" cap="rnd">
              <a:solidFill>
                <a:schemeClr val="accent1"/>
              </a:solidFill>
              <a:round/>
            </a:ln>
            <a:effectLst/>
          </c:spPr>
          <c:marker>
            <c:symbol val="none"/>
          </c:marker>
          <c:val>
            <c:numRef>
              <c:f>'Yield &amp; income projections'!$D$39:$D$48</c:f>
              <c:numCache>
                <c:formatCode>#,##0</c:formatCode>
                <c:ptCount val="10"/>
                <c:pt idx="0">
                  <c:v>900</c:v>
                </c:pt>
                <c:pt idx="1">
                  <c:v>900</c:v>
                </c:pt>
                <c:pt idx="2">
                  <c:v>810</c:v>
                </c:pt>
                <c:pt idx="3">
                  <c:v>810</c:v>
                </c:pt>
                <c:pt idx="4">
                  <c:v>810</c:v>
                </c:pt>
                <c:pt idx="5">
                  <c:v>720</c:v>
                </c:pt>
                <c:pt idx="6">
                  <c:v>720</c:v>
                </c:pt>
                <c:pt idx="7">
                  <c:v>720</c:v>
                </c:pt>
                <c:pt idx="8">
                  <c:v>630</c:v>
                </c:pt>
                <c:pt idx="9">
                  <c:v>630</c:v>
                </c:pt>
              </c:numCache>
            </c:numRef>
          </c:val>
          <c:smooth val="0"/>
          <c:extLst>
            <c:ext xmlns:c16="http://schemas.microsoft.com/office/drawing/2014/chart" uri="{C3380CC4-5D6E-409C-BE32-E72D297353CC}">
              <c16:uniqueId val="{00000000-81A9-42B3-A39E-0C890D036E77}"/>
            </c:ext>
          </c:extLst>
        </c:ser>
        <c:ser>
          <c:idx val="1"/>
          <c:order val="1"/>
          <c:tx>
            <c:strRef>
              <c:f>'Yield &amp; income projections'!$E$38</c:f>
              <c:strCache>
                <c:ptCount val="1"/>
                <c:pt idx="0">
                  <c:v>Grafted trees</c:v>
                </c:pt>
              </c:strCache>
            </c:strRef>
          </c:tx>
          <c:spPr>
            <a:ln w="28575" cap="rnd">
              <a:solidFill>
                <a:schemeClr val="accent2"/>
              </a:solidFill>
              <a:round/>
            </a:ln>
            <a:effectLst/>
          </c:spPr>
          <c:marker>
            <c:symbol val="none"/>
          </c:marker>
          <c:val>
            <c:numRef>
              <c:f>'Yield &amp; income projections'!$E$39:$E$48</c:f>
              <c:numCache>
                <c:formatCode>#,##0</c:formatCode>
                <c:ptCount val="10"/>
                <c:pt idx="0">
                  <c:v>100</c:v>
                </c:pt>
                <c:pt idx="1">
                  <c:v>0</c:v>
                </c:pt>
                <c:pt idx="2">
                  <c:v>200</c:v>
                </c:pt>
                <c:pt idx="3">
                  <c:v>500</c:v>
                </c:pt>
                <c:pt idx="4">
                  <c:v>750</c:v>
                </c:pt>
                <c:pt idx="5">
                  <c:v>1000</c:v>
                </c:pt>
                <c:pt idx="6">
                  <c:v>1000</c:v>
                </c:pt>
                <c:pt idx="7">
                  <c:v>1000</c:v>
                </c:pt>
                <c:pt idx="8">
                  <c:v>1000</c:v>
                </c:pt>
                <c:pt idx="9">
                  <c:v>1000</c:v>
                </c:pt>
              </c:numCache>
            </c:numRef>
          </c:val>
          <c:smooth val="0"/>
          <c:extLst>
            <c:ext xmlns:c16="http://schemas.microsoft.com/office/drawing/2014/chart" uri="{C3380CC4-5D6E-409C-BE32-E72D297353CC}">
              <c16:uniqueId val="{00000001-81A9-42B3-A39E-0C890D036E77}"/>
            </c:ext>
          </c:extLst>
        </c:ser>
        <c:ser>
          <c:idx val="2"/>
          <c:order val="2"/>
          <c:tx>
            <c:strRef>
              <c:f>'Yield &amp; income projections'!$F$38</c:f>
              <c:strCache>
                <c:ptCount val="1"/>
                <c:pt idx="0">
                  <c:v>New Planting</c:v>
                </c:pt>
              </c:strCache>
            </c:strRef>
          </c:tx>
          <c:spPr>
            <a:ln w="28575" cap="rnd">
              <a:solidFill>
                <a:schemeClr val="accent3"/>
              </a:solidFill>
              <a:round/>
            </a:ln>
            <a:effectLst/>
          </c:spPr>
          <c:marker>
            <c:symbol val="none"/>
          </c:marker>
          <c:val>
            <c:numRef>
              <c:f>'Yield &amp; income projections'!$F$39:$F$48</c:f>
              <c:numCache>
                <c:formatCode>#,##0</c:formatCode>
                <c:ptCount val="10"/>
                <c:pt idx="0">
                  <c:v>0</c:v>
                </c:pt>
                <c:pt idx="1">
                  <c:v>0</c:v>
                </c:pt>
                <c:pt idx="2">
                  <c:v>0</c:v>
                </c:pt>
                <c:pt idx="3">
                  <c:v>240</c:v>
                </c:pt>
                <c:pt idx="4">
                  <c:v>480</c:v>
                </c:pt>
                <c:pt idx="5">
                  <c:v>840</c:v>
                </c:pt>
                <c:pt idx="6">
                  <c:v>1200</c:v>
                </c:pt>
                <c:pt idx="7">
                  <c:v>1200</c:v>
                </c:pt>
                <c:pt idx="8">
                  <c:v>1200</c:v>
                </c:pt>
                <c:pt idx="9">
                  <c:v>1200</c:v>
                </c:pt>
              </c:numCache>
            </c:numRef>
          </c:val>
          <c:smooth val="0"/>
          <c:extLst>
            <c:ext xmlns:c16="http://schemas.microsoft.com/office/drawing/2014/chart" uri="{C3380CC4-5D6E-409C-BE32-E72D297353CC}">
              <c16:uniqueId val="{00000002-81A9-42B3-A39E-0C890D036E77}"/>
            </c:ext>
          </c:extLst>
        </c:ser>
        <c:dLbls>
          <c:showLegendKey val="0"/>
          <c:showVal val="0"/>
          <c:showCatName val="0"/>
          <c:showSerName val="0"/>
          <c:showPercent val="0"/>
          <c:showBubbleSize val="0"/>
        </c:dLbls>
        <c:smooth val="0"/>
        <c:axId val="755682672"/>
        <c:axId val="755679792"/>
      </c:lineChart>
      <c:catAx>
        <c:axId val="7556826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679792"/>
        <c:crosses val="autoZero"/>
        <c:auto val="1"/>
        <c:lblAlgn val="ctr"/>
        <c:lblOffset val="100"/>
        <c:noMultiLvlLbl val="0"/>
      </c:catAx>
      <c:valAx>
        <c:axId val="755679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68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a:t>
            </a:r>
            <a:r>
              <a:rPr lang="en-US" baseline="0"/>
              <a:t> Gross Income, by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'Yield &amp; income projections'!$D$51</c:f>
              <c:strCache>
                <c:ptCount val="1"/>
                <c:pt idx="0">
                  <c:v>Old cultivar</c:v>
                </c:pt>
              </c:strCache>
            </c:strRef>
          </c:tx>
          <c:spPr>
            <a:ln w="28575" cap="rnd">
              <a:solidFill>
                <a:schemeClr val="accent1"/>
              </a:solidFill>
              <a:round/>
            </a:ln>
            <a:effectLst/>
          </c:spPr>
          <c:marker>
            <c:symbol val="none"/>
          </c:marker>
          <c:val>
            <c:numRef>
              <c:f>'Yield &amp; income projections'!$D$52:$D$61</c:f>
              <c:numCache>
                <c:formatCode>"$"#,##0</c:formatCode>
                <c:ptCount val="10"/>
                <c:pt idx="0">
                  <c:v>9000</c:v>
                </c:pt>
                <c:pt idx="1">
                  <c:v>9000</c:v>
                </c:pt>
                <c:pt idx="2">
                  <c:v>8100</c:v>
                </c:pt>
                <c:pt idx="3">
                  <c:v>8100</c:v>
                </c:pt>
                <c:pt idx="4">
                  <c:v>8100</c:v>
                </c:pt>
                <c:pt idx="5">
                  <c:v>7200</c:v>
                </c:pt>
                <c:pt idx="6">
                  <c:v>7200</c:v>
                </c:pt>
                <c:pt idx="7">
                  <c:v>7200</c:v>
                </c:pt>
                <c:pt idx="8">
                  <c:v>6300</c:v>
                </c:pt>
                <c:pt idx="9">
                  <c:v>6300</c:v>
                </c:pt>
              </c:numCache>
            </c:numRef>
          </c:val>
          <c:smooth val="0"/>
          <c:extLst>
            <c:ext xmlns:c16="http://schemas.microsoft.com/office/drawing/2014/chart" uri="{C3380CC4-5D6E-409C-BE32-E72D297353CC}">
              <c16:uniqueId val="{00000000-47BF-435A-B86C-EE30A09638D0}"/>
            </c:ext>
          </c:extLst>
        </c:ser>
        <c:ser>
          <c:idx val="1"/>
          <c:order val="1"/>
          <c:tx>
            <c:strRef>
              <c:f>'Yield &amp; income projections'!$E$51</c:f>
              <c:strCache>
                <c:ptCount val="1"/>
                <c:pt idx="0">
                  <c:v>Grafted trees</c:v>
                </c:pt>
              </c:strCache>
            </c:strRef>
          </c:tx>
          <c:spPr>
            <a:ln w="28575" cap="rnd">
              <a:solidFill>
                <a:schemeClr val="accent2"/>
              </a:solidFill>
              <a:round/>
            </a:ln>
            <a:effectLst/>
          </c:spPr>
          <c:marker>
            <c:symbol val="none"/>
          </c:marker>
          <c:val>
            <c:numRef>
              <c:f>'Yield &amp; income projections'!$E$52:$E$61</c:f>
              <c:numCache>
                <c:formatCode>"$"#,##0</c:formatCode>
                <c:ptCount val="10"/>
                <c:pt idx="0">
                  <c:v>1000</c:v>
                </c:pt>
                <c:pt idx="1">
                  <c:v>0</c:v>
                </c:pt>
                <c:pt idx="2">
                  <c:v>6000</c:v>
                </c:pt>
                <c:pt idx="3">
                  <c:v>15000</c:v>
                </c:pt>
                <c:pt idx="4">
                  <c:v>22500</c:v>
                </c:pt>
                <c:pt idx="5">
                  <c:v>30000</c:v>
                </c:pt>
                <c:pt idx="6">
                  <c:v>30000</c:v>
                </c:pt>
                <c:pt idx="7">
                  <c:v>30000</c:v>
                </c:pt>
                <c:pt idx="8">
                  <c:v>30000</c:v>
                </c:pt>
                <c:pt idx="9">
                  <c:v>30000</c:v>
                </c:pt>
              </c:numCache>
            </c:numRef>
          </c:val>
          <c:smooth val="0"/>
          <c:extLst>
            <c:ext xmlns:c16="http://schemas.microsoft.com/office/drawing/2014/chart" uri="{C3380CC4-5D6E-409C-BE32-E72D297353CC}">
              <c16:uniqueId val="{00000001-47BF-435A-B86C-EE30A09638D0}"/>
            </c:ext>
          </c:extLst>
        </c:ser>
        <c:ser>
          <c:idx val="2"/>
          <c:order val="2"/>
          <c:tx>
            <c:strRef>
              <c:f>'Yield &amp; income projections'!$F$51</c:f>
              <c:strCache>
                <c:ptCount val="1"/>
                <c:pt idx="0">
                  <c:v>New Planting</c:v>
                </c:pt>
              </c:strCache>
            </c:strRef>
          </c:tx>
          <c:spPr>
            <a:ln w="28575" cap="rnd">
              <a:solidFill>
                <a:schemeClr val="accent3"/>
              </a:solidFill>
              <a:round/>
            </a:ln>
            <a:effectLst/>
          </c:spPr>
          <c:marker>
            <c:symbol val="none"/>
          </c:marker>
          <c:val>
            <c:numRef>
              <c:f>'Yield &amp; income projections'!$F$52:$F$61</c:f>
              <c:numCache>
                <c:formatCode>"$"#,##0</c:formatCode>
                <c:ptCount val="10"/>
                <c:pt idx="0">
                  <c:v>0</c:v>
                </c:pt>
                <c:pt idx="1">
                  <c:v>0</c:v>
                </c:pt>
                <c:pt idx="2">
                  <c:v>0</c:v>
                </c:pt>
                <c:pt idx="3">
                  <c:v>7200</c:v>
                </c:pt>
                <c:pt idx="4">
                  <c:v>14400</c:v>
                </c:pt>
                <c:pt idx="5">
                  <c:v>25200</c:v>
                </c:pt>
                <c:pt idx="6">
                  <c:v>36000</c:v>
                </c:pt>
                <c:pt idx="7">
                  <c:v>36000</c:v>
                </c:pt>
                <c:pt idx="8">
                  <c:v>36000</c:v>
                </c:pt>
                <c:pt idx="9">
                  <c:v>36000</c:v>
                </c:pt>
              </c:numCache>
            </c:numRef>
          </c:val>
          <c:smooth val="0"/>
          <c:extLst>
            <c:ext xmlns:c16="http://schemas.microsoft.com/office/drawing/2014/chart" uri="{C3380CC4-5D6E-409C-BE32-E72D297353CC}">
              <c16:uniqueId val="{00000002-47BF-435A-B86C-EE30A09638D0}"/>
            </c:ext>
          </c:extLst>
        </c:ser>
        <c:dLbls>
          <c:showLegendKey val="0"/>
          <c:showVal val="0"/>
          <c:showCatName val="0"/>
          <c:showSerName val="0"/>
          <c:showPercent val="0"/>
          <c:showBubbleSize val="0"/>
        </c:dLbls>
        <c:smooth val="0"/>
        <c:axId val="515795336"/>
        <c:axId val="515794256"/>
      </c:lineChart>
      <c:catAx>
        <c:axId val="5157953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794256"/>
        <c:crosses val="autoZero"/>
        <c:auto val="1"/>
        <c:lblAlgn val="ctr"/>
        <c:lblOffset val="100"/>
        <c:noMultiLvlLbl val="0"/>
      </c:catAx>
      <c:valAx>
        <c:axId val="515794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795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0</xdr:rowOff>
    </xdr:from>
    <xdr:to>
      <xdr:col>4</xdr:col>
      <xdr:colOff>46362</xdr:colOff>
      <xdr:row>1</xdr:row>
      <xdr:rowOff>128419</xdr:rowOff>
    </xdr:to>
    <xdr:pic>
      <xdr:nvPicPr>
        <xdr:cNvPr id="4" name="Picture 3">
          <a:extLst>
            <a:ext uri="{FF2B5EF4-FFF2-40B4-BE49-F238E27FC236}">
              <a16:creationId xmlns:a16="http://schemas.microsoft.com/office/drawing/2014/main" id="{5E0FB621-C7B8-4B3C-A783-8CC78BB922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0"/>
          <a:ext cx="3452502" cy="1012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167640</xdr:rowOff>
    </xdr:from>
    <xdr:to>
      <xdr:col>18</xdr:col>
      <xdr:colOff>7619</xdr:colOff>
      <xdr:row>12</xdr:row>
      <xdr:rowOff>66040</xdr:rowOff>
    </xdr:to>
    <xdr:graphicFrame macro="">
      <xdr:nvGraphicFramePr>
        <xdr:cNvPr id="2" name="Chart 1">
          <a:extLst>
            <a:ext uri="{FF2B5EF4-FFF2-40B4-BE49-F238E27FC236}">
              <a16:creationId xmlns:a16="http://schemas.microsoft.com/office/drawing/2014/main" id="{CB3721E3-F428-87F5-07F4-C4BA89387A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601980</xdr:colOff>
      <xdr:row>21</xdr:row>
      <xdr:rowOff>7620</xdr:rowOff>
    </xdr:from>
    <xdr:to>
      <xdr:col>18</xdr:col>
      <xdr:colOff>15240</xdr:colOff>
      <xdr:row>32</xdr:row>
      <xdr:rowOff>38100</xdr:rowOff>
    </xdr:to>
    <xdr:graphicFrame macro="">
      <xdr:nvGraphicFramePr>
        <xdr:cNvPr id="4" name="Chart 3">
          <a:extLst>
            <a:ext uri="{FF2B5EF4-FFF2-40B4-BE49-F238E27FC236}">
              <a16:creationId xmlns:a16="http://schemas.microsoft.com/office/drawing/2014/main" id="{DFE4BA85-7E35-40BB-A533-179717E3FA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kh4@psu.ed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E7C2-EF83-46D5-8766-ADBB4E572B04}">
  <dimension ref="A1:K33"/>
  <sheetViews>
    <sheetView showGridLines="0" tabSelected="1" workbookViewId="0">
      <selection activeCell="M8" sqref="M8"/>
    </sheetView>
  </sheetViews>
  <sheetFormatPr defaultRowHeight="14.4" x14ac:dyDescent="0.3"/>
  <cols>
    <col min="1" max="11" width="12.77734375" customWidth="1"/>
  </cols>
  <sheetData>
    <row r="1" spans="1:11" ht="70.05" customHeight="1" x14ac:dyDescent="0.3">
      <c r="A1" s="111"/>
      <c r="B1" s="111"/>
      <c r="C1" s="111"/>
      <c r="D1" s="111"/>
      <c r="E1" s="111"/>
      <c r="F1" s="111"/>
      <c r="G1" s="111"/>
      <c r="H1" s="111"/>
      <c r="I1" s="111"/>
      <c r="J1" s="111"/>
      <c r="K1" s="112"/>
    </row>
    <row r="2" spans="1:11" ht="32.4" x14ac:dyDescent="0.3">
      <c r="A2" s="113" t="s">
        <v>373</v>
      </c>
      <c r="B2" s="113"/>
      <c r="C2" s="113"/>
      <c r="D2" s="113"/>
      <c r="E2" s="113"/>
      <c r="F2" s="113"/>
      <c r="G2" s="113"/>
      <c r="H2" s="113"/>
      <c r="I2" s="113"/>
      <c r="J2" s="113"/>
      <c r="K2" s="114"/>
    </row>
    <row r="3" spans="1:11" x14ac:dyDescent="0.3">
      <c r="A3" s="115" t="s">
        <v>332</v>
      </c>
      <c r="B3" s="115"/>
      <c r="C3" s="116" t="s">
        <v>341</v>
      </c>
      <c r="D3" s="116"/>
      <c r="E3" s="116"/>
      <c r="F3" s="116"/>
      <c r="G3" s="116" t="s">
        <v>333</v>
      </c>
      <c r="H3" s="116"/>
      <c r="I3" s="117">
        <v>1</v>
      </c>
      <c r="J3" s="117"/>
      <c r="K3" s="118"/>
    </row>
    <row r="4" spans="1:11" x14ac:dyDescent="0.3">
      <c r="A4" s="115" t="s">
        <v>334</v>
      </c>
      <c r="B4" s="115"/>
      <c r="C4" s="116" t="s">
        <v>342</v>
      </c>
      <c r="D4" s="116"/>
      <c r="E4" s="116"/>
      <c r="F4" s="116"/>
      <c r="G4" s="116" t="s">
        <v>335</v>
      </c>
      <c r="H4" s="116"/>
      <c r="I4" s="119">
        <v>45400</v>
      </c>
      <c r="J4" s="116"/>
      <c r="K4" s="120"/>
    </row>
    <row r="5" spans="1:11" x14ac:dyDescent="0.3">
      <c r="A5" s="115" t="s">
        <v>336</v>
      </c>
      <c r="B5" s="115"/>
      <c r="C5" s="121" t="s">
        <v>343</v>
      </c>
      <c r="D5" s="116"/>
      <c r="E5" s="116"/>
      <c r="F5" s="116"/>
      <c r="G5" s="122"/>
      <c r="H5" s="122"/>
      <c r="I5" s="122"/>
      <c r="J5" s="122"/>
      <c r="K5" s="123"/>
    </row>
    <row r="6" spans="1:11" x14ac:dyDescent="0.3">
      <c r="A6" s="115" t="s">
        <v>337</v>
      </c>
      <c r="B6" s="115"/>
      <c r="C6" s="116"/>
      <c r="D6" s="116"/>
      <c r="E6" s="116"/>
      <c r="F6" s="116"/>
      <c r="G6" s="122"/>
      <c r="H6" s="122"/>
      <c r="I6" s="122"/>
      <c r="J6" s="122"/>
      <c r="K6" s="123"/>
    </row>
    <row r="7" spans="1:11" ht="15.6" x14ac:dyDescent="0.3">
      <c r="A7" s="126" t="s">
        <v>338</v>
      </c>
      <c r="B7" s="127"/>
      <c r="C7" s="127"/>
      <c r="D7" s="127"/>
      <c r="E7" s="127"/>
      <c r="F7" s="127"/>
      <c r="G7" s="127"/>
      <c r="H7" s="127"/>
      <c r="I7" s="127"/>
      <c r="J7" s="127"/>
      <c r="K7" s="128"/>
    </row>
    <row r="8" spans="1:11" ht="46.8" customHeight="1" x14ac:dyDescent="0.3">
      <c r="A8" s="129" t="s">
        <v>439</v>
      </c>
      <c r="B8" s="130"/>
      <c r="C8" s="130"/>
      <c r="D8" s="130"/>
      <c r="E8" s="130"/>
      <c r="F8" s="130"/>
      <c r="G8" s="130"/>
      <c r="H8" s="130"/>
      <c r="I8" s="130"/>
      <c r="J8" s="130"/>
      <c r="K8" s="131"/>
    </row>
    <row r="9" spans="1:11" ht="15.6" x14ac:dyDescent="0.3">
      <c r="A9" s="126" t="s">
        <v>339</v>
      </c>
      <c r="B9" s="127"/>
      <c r="C9" s="127"/>
      <c r="D9" s="127"/>
      <c r="E9" s="127"/>
      <c r="F9" s="127"/>
      <c r="G9" s="127"/>
      <c r="H9" s="127"/>
      <c r="I9" s="127"/>
      <c r="J9" s="127"/>
      <c r="K9" s="128"/>
    </row>
    <row r="10" spans="1:11" ht="70.2" customHeight="1" x14ac:dyDescent="0.3">
      <c r="A10" s="132" t="s">
        <v>440</v>
      </c>
      <c r="B10" s="133"/>
      <c r="C10" s="133"/>
      <c r="D10" s="133"/>
      <c r="E10" s="133"/>
      <c r="F10" s="133"/>
      <c r="G10" s="133"/>
      <c r="H10" s="133"/>
      <c r="I10" s="133"/>
      <c r="J10" s="133"/>
      <c r="K10" s="134"/>
    </row>
    <row r="11" spans="1:11" x14ac:dyDescent="0.3">
      <c r="A11" s="135"/>
      <c r="B11" s="136"/>
      <c r="C11" s="136"/>
      <c r="D11" s="136"/>
      <c r="E11" s="136"/>
      <c r="F11" s="136"/>
      <c r="G11" s="136"/>
      <c r="H11" s="136"/>
      <c r="I11" s="136"/>
      <c r="J11" s="136"/>
      <c r="K11" s="137"/>
    </row>
    <row r="12" spans="1:11" x14ac:dyDescent="0.3">
      <c r="A12" s="124" t="s">
        <v>388</v>
      </c>
      <c r="B12" s="115"/>
      <c r="C12" s="115"/>
      <c r="D12" s="115"/>
      <c r="E12" s="115"/>
      <c r="F12" s="115"/>
      <c r="G12" s="115"/>
      <c r="H12" s="115"/>
      <c r="I12" s="115"/>
      <c r="J12" s="115"/>
      <c r="K12" s="125"/>
    </row>
    <row r="13" spans="1:11" x14ac:dyDescent="0.3">
      <c r="A13" s="124" t="s">
        <v>376</v>
      </c>
      <c r="B13" s="115"/>
      <c r="C13" s="115"/>
      <c r="D13" s="115"/>
      <c r="E13" s="115"/>
      <c r="F13" s="115"/>
      <c r="G13" s="115"/>
      <c r="H13" s="115"/>
      <c r="I13" s="115"/>
      <c r="J13" s="115"/>
      <c r="K13" s="125"/>
    </row>
    <row r="14" spans="1:11" ht="60.6" customHeight="1" x14ac:dyDescent="0.3">
      <c r="A14" s="124" t="s">
        <v>433</v>
      </c>
      <c r="B14" s="115"/>
      <c r="C14" s="115"/>
      <c r="D14" s="115"/>
      <c r="E14" s="115"/>
      <c r="F14" s="115"/>
      <c r="G14" s="115"/>
      <c r="H14" s="115"/>
      <c r="I14" s="115"/>
      <c r="J14" s="115"/>
      <c r="K14" s="125"/>
    </row>
    <row r="15" spans="1:11" x14ac:dyDescent="0.3">
      <c r="A15" s="124"/>
      <c r="B15" s="115"/>
      <c r="C15" s="115"/>
      <c r="D15" s="115"/>
      <c r="E15" s="115"/>
      <c r="F15" s="115"/>
      <c r="G15" s="115"/>
      <c r="H15" s="115"/>
      <c r="I15" s="115"/>
      <c r="J15" s="115"/>
      <c r="K15" s="125"/>
    </row>
    <row r="16" spans="1:11" x14ac:dyDescent="0.3">
      <c r="A16" s="124" t="s">
        <v>377</v>
      </c>
      <c r="B16" s="115"/>
      <c r="C16" s="115"/>
      <c r="D16" s="115"/>
      <c r="E16" s="115"/>
      <c r="F16" s="115"/>
      <c r="G16" s="115"/>
      <c r="H16" s="115"/>
      <c r="I16" s="115"/>
      <c r="J16" s="115"/>
      <c r="K16" s="125"/>
    </row>
    <row r="17" spans="1:11" ht="18" customHeight="1" x14ac:dyDescent="0.3">
      <c r="A17" s="150" t="s">
        <v>429</v>
      </c>
      <c r="B17" s="151"/>
      <c r="C17" s="151"/>
      <c r="D17" s="151"/>
      <c r="E17" s="151"/>
      <c r="F17" s="151"/>
      <c r="G17" s="151"/>
      <c r="H17" s="151"/>
      <c r="I17" s="151"/>
      <c r="J17" s="151"/>
      <c r="K17" s="152"/>
    </row>
    <row r="18" spans="1:11" ht="18" customHeight="1" x14ac:dyDescent="0.3">
      <c r="A18" s="150" t="s">
        <v>430</v>
      </c>
      <c r="B18" s="151"/>
      <c r="C18" s="151"/>
      <c r="D18" s="151"/>
      <c r="E18" s="151"/>
      <c r="F18" s="151"/>
      <c r="G18" s="151"/>
      <c r="H18" s="151"/>
      <c r="I18" s="151"/>
      <c r="J18" s="151"/>
      <c r="K18" s="152"/>
    </row>
    <row r="19" spans="1:11" ht="36" customHeight="1" x14ac:dyDescent="0.3">
      <c r="A19" s="150" t="s">
        <v>431</v>
      </c>
      <c r="B19" s="151"/>
      <c r="C19" s="151"/>
      <c r="D19" s="151"/>
      <c r="E19" s="151"/>
      <c r="F19" s="151"/>
      <c r="G19" s="151"/>
      <c r="H19" s="151"/>
      <c r="I19" s="151"/>
      <c r="J19" s="151"/>
      <c r="K19" s="152"/>
    </row>
    <row r="20" spans="1:11" ht="36" customHeight="1" x14ac:dyDescent="0.3">
      <c r="A20" s="150" t="s">
        <v>441</v>
      </c>
      <c r="B20" s="151"/>
      <c r="C20" s="151"/>
      <c r="D20" s="151"/>
      <c r="E20" s="151"/>
      <c r="F20" s="151"/>
      <c r="G20" s="151"/>
      <c r="H20" s="151"/>
      <c r="I20" s="151"/>
      <c r="J20" s="151"/>
      <c r="K20" s="152"/>
    </row>
    <row r="21" spans="1:11" ht="36" customHeight="1" x14ac:dyDescent="0.3">
      <c r="A21" s="150" t="s">
        <v>432</v>
      </c>
      <c r="B21" s="151"/>
      <c r="C21" s="151"/>
      <c r="D21" s="151"/>
      <c r="E21" s="151"/>
      <c r="F21" s="151"/>
      <c r="G21" s="151"/>
      <c r="H21" s="151"/>
      <c r="I21" s="151"/>
      <c r="J21" s="151"/>
      <c r="K21" s="152"/>
    </row>
    <row r="22" spans="1:11" ht="36" customHeight="1" x14ac:dyDescent="0.3">
      <c r="A22" s="150" t="s">
        <v>442</v>
      </c>
      <c r="B22" s="156"/>
      <c r="C22" s="156"/>
      <c r="D22" s="156"/>
      <c r="E22" s="156"/>
      <c r="F22" s="156"/>
      <c r="G22" s="156"/>
      <c r="H22" s="156"/>
      <c r="I22" s="156"/>
      <c r="J22" s="156"/>
      <c r="K22" s="157"/>
    </row>
    <row r="23" spans="1:11" ht="36" customHeight="1" x14ac:dyDescent="0.3">
      <c r="A23" s="150" t="s">
        <v>443</v>
      </c>
      <c r="B23" s="156"/>
      <c r="C23" s="156"/>
      <c r="D23" s="156"/>
      <c r="E23" s="156"/>
      <c r="F23" s="156"/>
      <c r="G23" s="156"/>
      <c r="H23" s="156"/>
      <c r="I23" s="156"/>
      <c r="J23" s="156"/>
      <c r="K23" s="157"/>
    </row>
    <row r="24" spans="1:11" ht="18" customHeight="1" x14ac:dyDescent="0.3">
      <c r="A24" s="151" t="s">
        <v>434</v>
      </c>
      <c r="B24" s="156"/>
      <c r="C24" s="156"/>
      <c r="D24" s="156"/>
      <c r="E24" s="156"/>
      <c r="F24" s="156"/>
      <c r="G24" s="156"/>
      <c r="H24" s="156"/>
      <c r="I24" s="156"/>
      <c r="J24" s="156"/>
      <c r="K24" s="157"/>
    </row>
    <row r="25" spans="1:11" ht="36" customHeight="1" x14ac:dyDescent="0.3">
      <c r="A25" s="150" t="s">
        <v>435</v>
      </c>
      <c r="B25" s="156"/>
      <c r="C25" s="156"/>
      <c r="D25" s="156"/>
      <c r="E25" s="156"/>
      <c r="F25" s="156"/>
      <c r="G25" s="156"/>
      <c r="H25" s="156"/>
      <c r="I25" s="156"/>
      <c r="J25" s="156"/>
      <c r="K25" s="157"/>
    </row>
    <row r="26" spans="1:11" ht="36" customHeight="1" x14ac:dyDescent="0.3">
      <c r="A26" s="150" t="s">
        <v>436</v>
      </c>
      <c r="B26" s="156"/>
      <c r="C26" s="156"/>
      <c r="D26" s="156"/>
      <c r="E26" s="156"/>
      <c r="F26" s="156"/>
      <c r="G26" s="156"/>
      <c r="H26" s="156"/>
      <c r="I26" s="156"/>
      <c r="J26" s="156"/>
      <c r="K26" s="157"/>
    </row>
    <row r="27" spans="1:11" ht="54" customHeight="1" x14ac:dyDescent="0.3">
      <c r="A27" s="150" t="s">
        <v>437</v>
      </c>
      <c r="B27" s="156"/>
      <c r="C27" s="156"/>
      <c r="D27" s="156"/>
      <c r="E27" s="156"/>
      <c r="F27" s="156"/>
      <c r="G27" s="156"/>
      <c r="H27" s="156"/>
      <c r="I27" s="156"/>
      <c r="J27" s="156"/>
      <c r="K27" s="157"/>
    </row>
    <row r="28" spans="1:11" x14ac:dyDescent="0.3">
      <c r="A28" s="153"/>
      <c r="B28" s="154"/>
      <c r="C28" s="154"/>
      <c r="D28" s="154"/>
      <c r="E28" s="154"/>
      <c r="F28" s="154"/>
      <c r="G28" s="154"/>
      <c r="H28" s="154"/>
      <c r="I28" s="154"/>
      <c r="J28" s="154"/>
      <c r="K28" s="155"/>
    </row>
    <row r="29" spans="1:11" ht="15.6" x14ac:dyDescent="0.3">
      <c r="A29" s="138" t="s">
        <v>445</v>
      </c>
      <c r="B29" s="139"/>
      <c r="C29" s="139"/>
      <c r="D29" s="139"/>
      <c r="E29" s="139"/>
      <c r="F29" s="139"/>
      <c r="G29" s="139"/>
      <c r="H29" s="139"/>
      <c r="I29" s="139"/>
      <c r="J29" s="139"/>
      <c r="K29" s="140"/>
    </row>
    <row r="30" spans="1:11" ht="29.4" customHeight="1" x14ac:dyDescent="0.3">
      <c r="A30" s="141" t="s">
        <v>450</v>
      </c>
      <c r="B30" s="142"/>
      <c r="C30" s="142"/>
      <c r="D30" s="142"/>
      <c r="E30" s="142"/>
      <c r="F30" s="142"/>
      <c r="G30" s="142"/>
      <c r="H30" s="142"/>
      <c r="I30" s="142"/>
      <c r="J30" s="142"/>
      <c r="K30" s="143"/>
    </row>
    <row r="31" spans="1:11" ht="15.6" customHeight="1" x14ac:dyDescent="0.3">
      <c r="A31" s="144" t="s">
        <v>340</v>
      </c>
      <c r="B31" s="145"/>
      <c r="C31" s="145"/>
      <c r="D31" s="145"/>
      <c r="E31" s="145"/>
      <c r="F31" s="145"/>
      <c r="G31" s="145"/>
      <c r="H31" s="145"/>
      <c r="I31" s="145"/>
      <c r="J31" s="145"/>
      <c r="K31" s="146"/>
    </row>
    <row r="32" spans="1:11" ht="31.8" customHeight="1" thickBot="1" x14ac:dyDescent="0.35">
      <c r="A32" s="147" t="s">
        <v>446</v>
      </c>
      <c r="B32" s="148"/>
      <c r="C32" s="148"/>
      <c r="D32" s="148"/>
      <c r="E32" s="148"/>
      <c r="F32" s="148"/>
      <c r="G32" s="148"/>
      <c r="H32" s="148"/>
      <c r="I32" s="148"/>
      <c r="J32" s="148"/>
      <c r="K32" s="149"/>
    </row>
    <row r="33" ht="15" thickTop="1" x14ac:dyDescent="0.3"/>
  </sheetData>
  <sheetProtection sheet="1" objects="1" scenarios="1" selectLockedCells="1"/>
  <mergeCells count="42">
    <mergeCell ref="A29:K29"/>
    <mergeCell ref="A30:K30"/>
    <mergeCell ref="A31:K31"/>
    <mergeCell ref="A32:K32"/>
    <mergeCell ref="A17:K17"/>
    <mergeCell ref="A18:K18"/>
    <mergeCell ref="A19:K19"/>
    <mergeCell ref="A20:K20"/>
    <mergeCell ref="A21:K21"/>
    <mergeCell ref="A28:K28"/>
    <mergeCell ref="A22:K22"/>
    <mergeCell ref="A23:K23"/>
    <mergeCell ref="A25:K25"/>
    <mergeCell ref="A26:K26"/>
    <mergeCell ref="A27:K27"/>
    <mergeCell ref="A24:K24"/>
    <mergeCell ref="A16:K16"/>
    <mergeCell ref="A6:B6"/>
    <mergeCell ref="C6:F6"/>
    <mergeCell ref="G6:K6"/>
    <mergeCell ref="A7:K7"/>
    <mergeCell ref="A8:K8"/>
    <mergeCell ref="A9:K9"/>
    <mergeCell ref="A15:K15"/>
    <mergeCell ref="A10:K10"/>
    <mergeCell ref="A11:K11"/>
    <mergeCell ref="A12:K12"/>
    <mergeCell ref="A13:K13"/>
    <mergeCell ref="A14:K14"/>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72197E91-6D5E-4AD1-B8C9-F34DD5D2A46F}"/>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C778-654E-43D7-97EB-8B8A824AD1FB}">
  <dimension ref="A1:K81"/>
  <sheetViews>
    <sheetView workbookViewId="0">
      <selection activeCell="B1" sqref="B1"/>
    </sheetView>
  </sheetViews>
  <sheetFormatPr defaultRowHeight="14.4" x14ac:dyDescent="0.3"/>
  <cols>
    <col min="1" max="1" width="8.77734375" customWidth="1"/>
    <col min="2" max="2" width="23.77734375" customWidth="1"/>
    <col min="3" max="7" width="15.77734375" customWidth="1"/>
    <col min="9" max="9" width="15.77734375" customWidth="1"/>
    <col min="11" max="11" width="10.5546875" customWidth="1"/>
  </cols>
  <sheetData>
    <row r="1" spans="1:11" ht="18" x14ac:dyDescent="0.35">
      <c r="A1" s="35" t="s">
        <v>420</v>
      </c>
      <c r="B1" s="109"/>
      <c r="D1" s="1"/>
    </row>
    <row r="2" spans="1:11" ht="18" x14ac:dyDescent="0.35">
      <c r="A2" s="45"/>
      <c r="B2" s="22" t="s">
        <v>418</v>
      </c>
      <c r="D2" s="1"/>
    </row>
    <row r="3" spans="1:11" x14ac:dyDescent="0.3">
      <c r="A3" s="2" t="s">
        <v>251</v>
      </c>
      <c r="D3" s="1"/>
    </row>
    <row r="4" spans="1:11" x14ac:dyDescent="0.3">
      <c r="A4" s="2">
        <v>1</v>
      </c>
      <c r="B4" s="22" t="s">
        <v>246</v>
      </c>
      <c r="D4" s="1"/>
      <c r="F4" s="1"/>
      <c r="I4" s="61" t="s">
        <v>355</v>
      </c>
      <c r="K4" s="81" t="s">
        <v>407</v>
      </c>
    </row>
    <row r="5" spans="1:11" ht="15" thickBot="1" x14ac:dyDescent="0.35">
      <c r="A5" s="2"/>
      <c r="D5" s="1"/>
      <c r="F5" s="1"/>
      <c r="I5" s="61" t="s">
        <v>356</v>
      </c>
      <c r="K5" s="81" t="s">
        <v>406</v>
      </c>
    </row>
    <row r="6" spans="1:11" ht="15" thickBot="1" x14ac:dyDescent="0.35">
      <c r="A6" s="2"/>
      <c r="B6" s="6" t="s">
        <v>244</v>
      </c>
      <c r="D6" s="60"/>
      <c r="F6" s="79"/>
      <c r="I6" s="5" t="str">
        <f>IF(F6="x",G53,"")</f>
        <v/>
      </c>
      <c r="K6" s="82" t="str">
        <f>IF(F6="x",G56,"")</f>
        <v/>
      </c>
    </row>
    <row r="7" spans="1:11" ht="15" thickBot="1" x14ac:dyDescent="0.35">
      <c r="A7" s="2"/>
      <c r="B7" s="6" t="s">
        <v>304</v>
      </c>
      <c r="D7" s="60"/>
      <c r="F7" s="79" t="s">
        <v>8</v>
      </c>
      <c r="G7" s="22" t="str">
        <f>IF(F6=F7,"ERROR--choose only one","")</f>
        <v/>
      </c>
      <c r="I7" s="83">
        <f>IF(F7="x",F58,"")</f>
        <v>2551.94</v>
      </c>
      <c r="K7" s="82">
        <f>IF(F7="x",F56,"")</f>
        <v>394.88</v>
      </c>
    </row>
    <row r="8" spans="1:11" x14ac:dyDescent="0.3">
      <c r="A8" s="2"/>
    </row>
    <row r="9" spans="1:11" x14ac:dyDescent="0.3">
      <c r="A9" s="2">
        <v>2</v>
      </c>
      <c r="B9" s="22" t="s">
        <v>423</v>
      </c>
    </row>
    <row r="11" spans="1:11" x14ac:dyDescent="0.3">
      <c r="B11" s="6" t="s">
        <v>357</v>
      </c>
    </row>
    <row r="13" spans="1:11" x14ac:dyDescent="0.3">
      <c r="B13" s="6" t="s">
        <v>28</v>
      </c>
      <c r="C13" s="2" t="s">
        <v>38</v>
      </c>
      <c r="D13" s="2" t="s">
        <v>114</v>
      </c>
      <c r="E13" s="2" t="s">
        <v>44</v>
      </c>
      <c r="F13" s="2" t="s">
        <v>115</v>
      </c>
      <c r="G13" s="24" t="s">
        <v>116</v>
      </c>
    </row>
    <row r="14" spans="1:11" x14ac:dyDescent="0.3">
      <c r="B14" s="6"/>
      <c r="C14" s="6"/>
      <c r="D14" s="6"/>
      <c r="E14" s="6"/>
      <c r="F14" s="6"/>
    </row>
    <row r="15" spans="1:11" ht="15" thickBot="1" x14ac:dyDescent="0.35">
      <c r="B15" s="6" t="s">
        <v>106</v>
      </c>
    </row>
    <row r="16" spans="1:11" ht="15" thickBot="1" x14ac:dyDescent="0.35">
      <c r="B16" t="s">
        <v>174</v>
      </c>
      <c r="C16" s="1" t="s">
        <v>175</v>
      </c>
      <c r="D16" s="5">
        <v>38</v>
      </c>
      <c r="E16" s="1">
        <v>0.5</v>
      </c>
      <c r="F16" s="5">
        <f>D16*E16</f>
        <v>19</v>
      </c>
      <c r="G16" s="80">
        <v>0</v>
      </c>
    </row>
    <row r="18" spans="2:7" ht="15" thickBot="1" x14ac:dyDescent="0.35">
      <c r="B18" s="6" t="s">
        <v>106</v>
      </c>
    </row>
    <row r="19" spans="2:7" ht="15" thickBot="1" x14ac:dyDescent="0.35">
      <c r="B19" t="s">
        <v>174</v>
      </c>
      <c r="C19" s="1" t="s">
        <v>175</v>
      </c>
      <c r="D19" s="5">
        <v>38</v>
      </c>
      <c r="E19" s="1">
        <v>0.5</v>
      </c>
      <c r="F19" s="5">
        <f>D19*E19</f>
        <v>19</v>
      </c>
      <c r="G19" s="80">
        <v>0</v>
      </c>
    </row>
    <row r="20" spans="2:7" ht="15" thickBot="1" x14ac:dyDescent="0.35">
      <c r="B20" s="34" t="s">
        <v>143</v>
      </c>
      <c r="C20" s="1"/>
      <c r="E20" s="1"/>
      <c r="F20" s="5"/>
    </row>
    <row r="21" spans="2:7" ht="15" thickBot="1" x14ac:dyDescent="0.35">
      <c r="B21" t="s">
        <v>176</v>
      </c>
      <c r="C21" s="1" t="s">
        <v>40</v>
      </c>
      <c r="D21" s="5">
        <v>0.71</v>
      </c>
      <c r="E21" s="1">
        <v>20</v>
      </c>
      <c r="F21" s="5">
        <f t="shared" ref="F21:F27" si="0">D21*E21</f>
        <v>14.2</v>
      </c>
      <c r="G21" s="80">
        <v>0</v>
      </c>
    </row>
    <row r="22" spans="2:7" ht="15" thickBot="1" x14ac:dyDescent="0.35">
      <c r="B22" t="s">
        <v>177</v>
      </c>
      <c r="C22" s="1" t="s">
        <v>40</v>
      </c>
      <c r="D22" s="5">
        <v>0.55000000000000004</v>
      </c>
      <c r="E22" s="1">
        <v>50</v>
      </c>
      <c r="F22" s="5">
        <f t="shared" si="0"/>
        <v>27.500000000000004</v>
      </c>
      <c r="G22" s="80">
        <v>0</v>
      </c>
    </row>
    <row r="23" spans="2:7" ht="15" thickBot="1" x14ac:dyDescent="0.35">
      <c r="B23" t="s">
        <v>178</v>
      </c>
      <c r="C23" s="1" t="s">
        <v>40</v>
      </c>
      <c r="D23" s="5">
        <v>0.32</v>
      </c>
      <c r="E23" s="1">
        <v>21</v>
      </c>
      <c r="F23" s="5">
        <f t="shared" si="0"/>
        <v>6.72</v>
      </c>
      <c r="G23" s="80">
        <v>0</v>
      </c>
    </row>
    <row r="24" spans="2:7" ht="15" thickBot="1" x14ac:dyDescent="0.35">
      <c r="B24" t="s">
        <v>179</v>
      </c>
      <c r="C24" s="1" t="s">
        <v>40</v>
      </c>
      <c r="D24" s="5">
        <v>0.52</v>
      </c>
      <c r="E24" s="1">
        <v>28.5</v>
      </c>
      <c r="F24" s="5">
        <f t="shared" si="0"/>
        <v>14.82</v>
      </c>
      <c r="G24" s="80">
        <v>0</v>
      </c>
    </row>
    <row r="25" spans="2:7" ht="15" thickBot="1" x14ac:dyDescent="0.35">
      <c r="B25" t="s">
        <v>180</v>
      </c>
      <c r="C25" s="1" t="s">
        <v>40</v>
      </c>
      <c r="D25" s="5">
        <v>1.9</v>
      </c>
      <c r="E25" s="1">
        <v>3.6</v>
      </c>
      <c r="F25" s="5">
        <f t="shared" si="0"/>
        <v>6.84</v>
      </c>
      <c r="G25" s="80">
        <v>0</v>
      </c>
    </row>
    <row r="26" spans="2:7" ht="15" thickBot="1" x14ac:dyDescent="0.35">
      <c r="B26" t="s">
        <v>181</v>
      </c>
      <c r="C26" s="1" t="s">
        <v>39</v>
      </c>
      <c r="D26" s="5">
        <v>2</v>
      </c>
      <c r="E26" s="1">
        <v>1</v>
      </c>
      <c r="F26" s="5">
        <f t="shared" si="0"/>
        <v>2</v>
      </c>
      <c r="G26" s="80">
        <v>0</v>
      </c>
    </row>
    <row r="27" spans="2:7" ht="15" thickBot="1" x14ac:dyDescent="0.35">
      <c r="B27" t="s">
        <v>182</v>
      </c>
      <c r="C27" s="1" t="s">
        <v>39</v>
      </c>
      <c r="D27" s="5">
        <v>25</v>
      </c>
      <c r="E27" s="1">
        <v>0.25</v>
      </c>
      <c r="F27" s="5">
        <f t="shared" si="0"/>
        <v>6.25</v>
      </c>
      <c r="G27" s="80">
        <v>0</v>
      </c>
    </row>
    <row r="28" spans="2:7" ht="15" thickBot="1" x14ac:dyDescent="0.35">
      <c r="B28" s="34" t="s">
        <v>144</v>
      </c>
      <c r="C28" s="1"/>
    </row>
    <row r="29" spans="2:7" ht="15" thickBot="1" x14ac:dyDescent="0.35">
      <c r="B29" t="s">
        <v>148</v>
      </c>
      <c r="C29" t="s">
        <v>39</v>
      </c>
      <c r="D29" s="1">
        <v>1</v>
      </c>
      <c r="E29" s="1">
        <v>58.52</v>
      </c>
      <c r="F29" s="5">
        <f t="shared" ref="F29:F30" si="1">D29*E29</f>
        <v>58.52</v>
      </c>
      <c r="G29" s="80">
        <v>0</v>
      </c>
    </row>
    <row r="30" spans="2:7" ht="15" thickBot="1" x14ac:dyDescent="0.35">
      <c r="B30" t="s">
        <v>149</v>
      </c>
      <c r="C30" t="s">
        <v>39</v>
      </c>
      <c r="D30" s="1">
        <v>1</v>
      </c>
      <c r="E30" s="1">
        <v>272.62</v>
      </c>
      <c r="F30" s="5">
        <f t="shared" si="1"/>
        <v>272.62</v>
      </c>
      <c r="G30" s="80">
        <v>0</v>
      </c>
    </row>
    <row r="31" spans="2:7" ht="15" thickBot="1" x14ac:dyDescent="0.35">
      <c r="B31" t="s">
        <v>150</v>
      </c>
      <c r="C31" t="s">
        <v>39</v>
      </c>
      <c r="D31" s="1">
        <v>1</v>
      </c>
      <c r="E31" s="1">
        <v>230.82</v>
      </c>
      <c r="F31" s="5">
        <v>307.76</v>
      </c>
      <c r="G31" s="80">
        <v>0</v>
      </c>
    </row>
    <row r="32" spans="2:7" ht="15" thickBot="1" x14ac:dyDescent="0.35">
      <c r="B32" s="34" t="s">
        <v>33</v>
      </c>
      <c r="C32" s="1"/>
      <c r="D32" s="5"/>
      <c r="E32" s="1"/>
      <c r="F32" s="5"/>
    </row>
    <row r="33" spans="2:9" ht="15" thickBot="1" x14ac:dyDescent="0.35">
      <c r="B33" t="s">
        <v>184</v>
      </c>
      <c r="C33" s="1" t="s">
        <v>39</v>
      </c>
      <c r="D33" s="5">
        <v>100</v>
      </c>
      <c r="E33" s="1">
        <v>1</v>
      </c>
      <c r="F33" s="5">
        <f t="shared" ref="F33" si="2">D33*E33</f>
        <v>100</v>
      </c>
      <c r="G33" s="80">
        <v>0</v>
      </c>
    </row>
    <row r="34" spans="2:9" ht="15" thickBot="1" x14ac:dyDescent="0.35">
      <c r="B34" t="s">
        <v>185</v>
      </c>
      <c r="C34" s="1" t="s">
        <v>41</v>
      </c>
      <c r="D34" s="5">
        <v>18</v>
      </c>
      <c r="E34" s="1">
        <v>27</v>
      </c>
      <c r="F34" s="5">
        <v>412.2</v>
      </c>
      <c r="G34" s="80">
        <v>0</v>
      </c>
    </row>
    <row r="35" spans="2:9" ht="15" thickBot="1" x14ac:dyDescent="0.35">
      <c r="B35" t="s">
        <v>34</v>
      </c>
      <c r="C35" s="1" t="s">
        <v>41</v>
      </c>
      <c r="D35" s="5">
        <v>20</v>
      </c>
      <c r="E35" s="1">
        <v>8.4</v>
      </c>
      <c r="F35" s="5">
        <v>162</v>
      </c>
      <c r="G35" s="80">
        <v>0</v>
      </c>
    </row>
    <row r="36" spans="2:9" x14ac:dyDescent="0.3">
      <c r="B36" t="s">
        <v>186</v>
      </c>
      <c r="C36" s="1" t="s">
        <v>42</v>
      </c>
      <c r="D36" s="9" t="str">
        <f>CONCATENATE("$",Parameters!D$24," or $",Parameters!D$23)</f>
        <v>$1.95 or $2.4</v>
      </c>
      <c r="E36" s="3"/>
      <c r="F36" s="71" t="s">
        <v>79</v>
      </c>
      <c r="G36" s="71" t="s">
        <v>79</v>
      </c>
      <c r="H36" s="47" t="s">
        <v>380</v>
      </c>
      <c r="I36" s="22" t="s">
        <v>400</v>
      </c>
    </row>
    <row r="37" spans="2:9" x14ac:dyDescent="0.3">
      <c r="C37" s="1"/>
      <c r="D37" s="9"/>
      <c r="E37" s="3"/>
      <c r="F37" s="71"/>
      <c r="G37" s="71"/>
      <c r="H37" s="47"/>
      <c r="I37" s="22" t="s">
        <v>401</v>
      </c>
    </row>
    <row r="38" spans="2:9" x14ac:dyDescent="0.3">
      <c r="B38" t="s">
        <v>187</v>
      </c>
      <c r="C38" s="1" t="s">
        <v>188</v>
      </c>
      <c r="D38" s="9">
        <f>Parameters!$D$17</f>
        <v>1.85</v>
      </c>
      <c r="E38" s="3"/>
      <c r="F38" s="71" t="s">
        <v>79</v>
      </c>
      <c r="G38" s="71" t="s">
        <v>79</v>
      </c>
      <c r="H38" s="47" t="s">
        <v>380</v>
      </c>
      <c r="I38" s="22" t="s">
        <v>385</v>
      </c>
    </row>
    <row r="39" spans="2:9" ht="15" thickBot="1" x14ac:dyDescent="0.35">
      <c r="B39" s="34" t="s">
        <v>35</v>
      </c>
      <c r="C39" s="1"/>
      <c r="D39" s="5"/>
      <c r="E39" s="1"/>
      <c r="F39" s="5"/>
      <c r="I39" s="22" t="s">
        <v>384</v>
      </c>
    </row>
    <row r="40" spans="2:9" ht="15" thickBot="1" x14ac:dyDescent="0.35">
      <c r="B40" t="s">
        <v>189</v>
      </c>
      <c r="C40" s="1" t="s">
        <v>39</v>
      </c>
      <c r="D40" s="5">
        <v>50</v>
      </c>
      <c r="E40" s="1">
        <v>1</v>
      </c>
      <c r="F40" s="5">
        <f>D40*E40</f>
        <v>50</v>
      </c>
      <c r="G40" s="80">
        <v>0</v>
      </c>
      <c r="I40" s="22" t="s">
        <v>379</v>
      </c>
    </row>
    <row r="41" spans="2:9" ht="15" thickBot="1" x14ac:dyDescent="0.35">
      <c r="B41" t="s">
        <v>36</v>
      </c>
      <c r="C41" s="1" t="s">
        <v>42</v>
      </c>
      <c r="D41" s="5">
        <v>0.8</v>
      </c>
      <c r="E41" s="1">
        <v>400</v>
      </c>
      <c r="F41" s="5">
        <f>D41*E41</f>
        <v>320</v>
      </c>
      <c r="G41" s="80">
        <v>0</v>
      </c>
    </row>
    <row r="42" spans="2:9" ht="15" thickBot="1" x14ac:dyDescent="0.35">
      <c r="B42" t="s">
        <v>183</v>
      </c>
      <c r="C42" s="1" t="s">
        <v>40</v>
      </c>
      <c r="D42" s="5">
        <v>2.1800000000000002</v>
      </c>
      <c r="E42" s="1">
        <v>10</v>
      </c>
      <c r="F42" s="5">
        <f>D42*E42</f>
        <v>21.8</v>
      </c>
      <c r="G42" s="80">
        <v>0</v>
      </c>
    </row>
    <row r="43" spans="2:9" ht="15" thickBot="1" x14ac:dyDescent="0.35">
      <c r="B43" t="s">
        <v>190</v>
      </c>
      <c r="C43" s="1" t="s">
        <v>43</v>
      </c>
      <c r="D43" s="5">
        <v>4.25</v>
      </c>
      <c r="E43" s="1">
        <v>60</v>
      </c>
      <c r="F43" s="5">
        <f>D43*E43</f>
        <v>255</v>
      </c>
      <c r="G43" s="80">
        <v>0</v>
      </c>
    </row>
    <row r="44" spans="2:9" ht="15" thickBot="1" x14ac:dyDescent="0.35">
      <c r="B44" s="34" t="s">
        <v>37</v>
      </c>
      <c r="C44" s="1"/>
      <c r="D44" s="5"/>
      <c r="E44" s="1"/>
      <c r="F44" s="5"/>
    </row>
    <row r="45" spans="2:9" ht="15" thickBot="1" x14ac:dyDescent="0.35">
      <c r="B45" t="s">
        <v>191</v>
      </c>
      <c r="C45" s="1" t="s">
        <v>39</v>
      </c>
      <c r="D45" s="5">
        <v>25.65</v>
      </c>
      <c r="E45" s="1">
        <v>1</v>
      </c>
      <c r="F45" s="5">
        <f>D45*E45</f>
        <v>25.65</v>
      </c>
      <c r="G45" s="80">
        <v>0</v>
      </c>
    </row>
    <row r="46" spans="2:9" ht="15" thickBot="1" x14ac:dyDescent="0.35">
      <c r="B46" t="s">
        <v>192</v>
      </c>
      <c r="C46" s="1" t="s">
        <v>39</v>
      </c>
      <c r="D46" s="5">
        <v>74.180000000000007</v>
      </c>
      <c r="E46" s="1">
        <v>1</v>
      </c>
      <c r="F46" s="5">
        <f>D46*E46</f>
        <v>74.180000000000007</v>
      </c>
      <c r="G46" s="80">
        <v>0</v>
      </c>
    </row>
    <row r="47" spans="2:9" x14ac:dyDescent="0.3">
      <c r="B47" t="s">
        <v>163</v>
      </c>
      <c r="C47" s="1" t="s">
        <v>39</v>
      </c>
      <c r="D47" s="65">
        <f>Parameters!D$6</f>
        <v>5.5E-2</v>
      </c>
      <c r="E47" s="2"/>
      <c r="F47" s="71" t="s">
        <v>79</v>
      </c>
      <c r="G47" s="71" t="s">
        <v>79</v>
      </c>
      <c r="H47" s="47" t="s">
        <v>380</v>
      </c>
      <c r="I47" s="46" t="s">
        <v>398</v>
      </c>
    </row>
    <row r="48" spans="2:9" x14ac:dyDescent="0.3">
      <c r="C48" s="1"/>
      <c r="D48" s="5"/>
      <c r="E48" s="1"/>
      <c r="F48" s="5"/>
      <c r="G48" s="46"/>
      <c r="I48" s="22" t="s">
        <v>399</v>
      </c>
    </row>
    <row r="49" spans="2:7" x14ac:dyDescent="0.3">
      <c r="B49" s="6" t="s">
        <v>127</v>
      </c>
      <c r="D49" s="5"/>
      <c r="F49" s="5">
        <f>SUM(F19:F47)</f>
        <v>2157.06</v>
      </c>
      <c r="G49" s="10">
        <f>SUM(G19:G47)</f>
        <v>0</v>
      </c>
    </row>
    <row r="51" spans="2:7" ht="15" thickBot="1" x14ac:dyDescent="0.35">
      <c r="B51" s="6" t="s">
        <v>108</v>
      </c>
      <c r="D51" s="5"/>
      <c r="F51" s="5"/>
    </row>
    <row r="52" spans="2:7" ht="15" thickBot="1" x14ac:dyDescent="0.35">
      <c r="B52" t="s">
        <v>191</v>
      </c>
      <c r="C52" s="1" t="s">
        <v>39</v>
      </c>
      <c r="D52" s="5">
        <v>78.89</v>
      </c>
      <c r="E52" s="1">
        <v>1</v>
      </c>
      <c r="F52" s="5">
        <f>D52*E52</f>
        <v>78.89</v>
      </c>
      <c r="G52" s="80">
        <v>0</v>
      </c>
    </row>
    <row r="53" spans="2:7" ht="15" thickBot="1" x14ac:dyDescent="0.35">
      <c r="B53" t="s">
        <v>192</v>
      </c>
      <c r="C53" s="1" t="s">
        <v>39</v>
      </c>
      <c r="D53" s="5">
        <v>115.99</v>
      </c>
      <c r="E53" s="1">
        <v>1</v>
      </c>
      <c r="F53" s="5">
        <f>D53*E53</f>
        <v>115.99</v>
      </c>
      <c r="G53" s="80">
        <v>0</v>
      </c>
    </row>
    <row r="54" spans="2:7" ht="15" thickBot="1" x14ac:dyDescent="0.35">
      <c r="B54" t="s">
        <v>193</v>
      </c>
      <c r="C54" s="1" t="s">
        <v>39</v>
      </c>
      <c r="D54" s="5">
        <v>200</v>
      </c>
      <c r="E54" s="1">
        <v>1</v>
      </c>
      <c r="F54" s="5">
        <f>D54*E54</f>
        <v>200</v>
      </c>
      <c r="G54" s="80">
        <v>0</v>
      </c>
    </row>
    <row r="55" spans="2:7" x14ac:dyDescent="0.3">
      <c r="C55" s="1"/>
      <c r="D55" s="5"/>
      <c r="E55" s="1"/>
      <c r="F55" s="5"/>
    </row>
    <row r="56" spans="2:7" x14ac:dyDescent="0.3">
      <c r="B56" s="6" t="s">
        <v>130</v>
      </c>
      <c r="D56" s="5"/>
      <c r="F56" s="5">
        <f>SUM(F52:F54)</f>
        <v>394.88</v>
      </c>
      <c r="G56" s="67">
        <f>SUM(G52:G54)</f>
        <v>0</v>
      </c>
    </row>
    <row r="57" spans="2:7" x14ac:dyDescent="0.3">
      <c r="D57" s="5"/>
      <c r="F57" s="5"/>
      <c r="G57" s="66"/>
    </row>
    <row r="58" spans="2:7" x14ac:dyDescent="0.3">
      <c r="B58" s="6" t="s">
        <v>131</v>
      </c>
      <c r="D58" s="5"/>
      <c r="F58" s="5">
        <f>F49+F56</f>
        <v>2551.94</v>
      </c>
      <c r="G58" s="67">
        <f>G49+G56</f>
        <v>0</v>
      </c>
    </row>
    <row r="59" spans="2:7" ht="15" thickBot="1" x14ac:dyDescent="0.35"/>
    <row r="60" spans="2:7" ht="15.6" thickTop="1" thickBot="1" x14ac:dyDescent="0.35">
      <c r="F60" s="158" t="s">
        <v>374</v>
      </c>
      <c r="G60" s="162"/>
    </row>
    <row r="61" spans="2:7" ht="15" thickTop="1" x14ac:dyDescent="0.3"/>
    <row r="64" spans="2:7" x14ac:dyDescent="0.3">
      <c r="C64" s="1"/>
      <c r="D64" s="5"/>
      <c r="E64" s="1"/>
      <c r="F64" s="5"/>
    </row>
    <row r="65" spans="3:6" x14ac:dyDescent="0.3">
      <c r="C65" s="1"/>
      <c r="D65" s="5"/>
      <c r="E65" s="1"/>
      <c r="F65" s="5"/>
    </row>
    <row r="66" spans="3:6" x14ac:dyDescent="0.3">
      <c r="C66" s="1"/>
      <c r="D66" s="5"/>
      <c r="E66" s="1"/>
      <c r="F66" s="5"/>
    </row>
    <row r="67" spans="3:6" x14ac:dyDescent="0.3">
      <c r="C67" s="1"/>
      <c r="D67" s="5"/>
      <c r="E67" s="1"/>
      <c r="F67" s="5"/>
    </row>
    <row r="68" spans="3:6" x14ac:dyDescent="0.3">
      <c r="C68" s="1"/>
      <c r="D68" s="5"/>
      <c r="E68" s="1"/>
      <c r="F68" s="5"/>
    </row>
    <row r="69" spans="3:6" x14ac:dyDescent="0.3">
      <c r="C69" s="1"/>
      <c r="D69" s="5"/>
      <c r="E69" s="1"/>
      <c r="F69" s="5"/>
    </row>
    <row r="70" spans="3:6" x14ac:dyDescent="0.3">
      <c r="C70" s="1"/>
      <c r="D70" s="5"/>
      <c r="E70" s="1"/>
      <c r="F70" s="5"/>
    </row>
    <row r="71" spans="3:6" x14ac:dyDescent="0.3">
      <c r="C71" s="1"/>
      <c r="D71" s="5"/>
      <c r="E71" s="1"/>
      <c r="F71" s="5"/>
    </row>
    <row r="72" spans="3:6" x14ac:dyDescent="0.3">
      <c r="D72" s="5"/>
      <c r="F72" s="5"/>
    </row>
    <row r="73" spans="3:6" x14ac:dyDescent="0.3">
      <c r="D73" s="5"/>
      <c r="F73" s="5"/>
    </row>
    <row r="74" spans="3:6" x14ac:dyDescent="0.3">
      <c r="D74" s="5"/>
      <c r="F74" s="5"/>
    </row>
    <row r="75" spans="3:6" x14ac:dyDescent="0.3">
      <c r="C75" s="1"/>
      <c r="D75" s="5"/>
      <c r="E75" s="1"/>
      <c r="F75" s="5"/>
    </row>
    <row r="76" spans="3:6" x14ac:dyDescent="0.3">
      <c r="C76" s="1"/>
      <c r="D76" s="5"/>
      <c r="E76" s="1"/>
      <c r="F76" s="5"/>
    </row>
    <row r="77" spans="3:6" x14ac:dyDescent="0.3">
      <c r="C77" s="1"/>
      <c r="D77" s="5"/>
      <c r="E77" s="1"/>
      <c r="F77" s="5"/>
    </row>
    <row r="78" spans="3:6" x14ac:dyDescent="0.3">
      <c r="D78" s="5"/>
      <c r="F78" s="5"/>
    </row>
    <row r="79" spans="3:6" x14ac:dyDescent="0.3">
      <c r="D79" s="5"/>
      <c r="F79" s="5"/>
    </row>
    <row r="81" spans="2:2" x14ac:dyDescent="0.3">
      <c r="B81" t="s">
        <v>351</v>
      </c>
    </row>
  </sheetData>
  <sheetProtection sheet="1" objects="1" scenarios="1" selectLockedCells="1"/>
  <mergeCells count="1">
    <mergeCell ref="F60:G6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4FC65-E165-43A1-B8C0-482904837761}">
  <dimension ref="A1:V92"/>
  <sheetViews>
    <sheetView workbookViewId="0">
      <selection activeCell="B1" sqref="B1"/>
    </sheetView>
  </sheetViews>
  <sheetFormatPr defaultRowHeight="14.4" x14ac:dyDescent="0.3"/>
  <cols>
    <col min="1" max="1" width="8.77734375" customWidth="1"/>
    <col min="2" max="2" width="25.77734375" customWidth="1"/>
    <col min="3" max="7" width="15.77734375" customWidth="1"/>
    <col min="9" max="9" width="15.77734375" customWidth="1"/>
    <col min="15" max="15" width="25.44140625" customWidth="1"/>
    <col min="22" max="22" width="12.44140625" bestFit="1" customWidth="1"/>
  </cols>
  <sheetData>
    <row r="1" spans="1:11" ht="18" x14ac:dyDescent="0.35">
      <c r="A1" s="35" t="s">
        <v>352</v>
      </c>
      <c r="B1" s="109"/>
      <c r="F1" s="1"/>
    </row>
    <row r="2" spans="1:11" ht="18" x14ac:dyDescent="0.35">
      <c r="A2" s="45"/>
      <c r="B2" s="22" t="s">
        <v>418</v>
      </c>
      <c r="F2" s="1"/>
    </row>
    <row r="3" spans="1:11" x14ac:dyDescent="0.3">
      <c r="A3" s="2" t="s">
        <v>251</v>
      </c>
      <c r="F3" s="1"/>
    </row>
    <row r="4" spans="1:11" x14ac:dyDescent="0.3">
      <c r="A4" s="2">
        <v>1</v>
      </c>
      <c r="B4" s="22" t="s">
        <v>246</v>
      </c>
      <c r="F4" s="1"/>
      <c r="I4" s="61" t="s">
        <v>355</v>
      </c>
      <c r="K4" s="81" t="s">
        <v>407</v>
      </c>
    </row>
    <row r="5" spans="1:11" ht="15" thickBot="1" x14ac:dyDescent="0.35">
      <c r="A5" s="2"/>
      <c r="F5" s="1"/>
      <c r="I5" s="61" t="s">
        <v>356</v>
      </c>
      <c r="K5" s="81" t="s">
        <v>406</v>
      </c>
    </row>
    <row r="6" spans="1:11" ht="15" thickBot="1" x14ac:dyDescent="0.35">
      <c r="A6" s="2"/>
      <c r="B6" s="6" t="s">
        <v>354</v>
      </c>
      <c r="F6" s="79"/>
      <c r="I6" s="5" t="str">
        <f>IF(F6="x",G55,"")</f>
        <v/>
      </c>
      <c r="K6" s="82" t="str">
        <f>IF(F6="x",G55,"")</f>
        <v/>
      </c>
    </row>
    <row r="7" spans="1:11" ht="15" thickBot="1" x14ac:dyDescent="0.35">
      <c r="A7" s="2"/>
      <c r="B7" s="6" t="s">
        <v>353</v>
      </c>
      <c r="F7" s="79" t="s">
        <v>8</v>
      </c>
      <c r="G7" s="22" t="str">
        <f>IF(F6=F7,"ERROR--choose only one","")</f>
        <v/>
      </c>
      <c r="I7" s="83">
        <f>IF(F7="x",F57,"")</f>
        <v>2791.1</v>
      </c>
      <c r="K7" s="82">
        <f>IF(F7="x",F55,"")</f>
        <v>403.7</v>
      </c>
    </row>
    <row r="8" spans="1:11" x14ac:dyDescent="0.3">
      <c r="A8" s="2"/>
    </row>
    <row r="9" spans="1:11" x14ac:dyDescent="0.3">
      <c r="A9" s="2">
        <v>2</v>
      </c>
      <c r="B9" s="22" t="s">
        <v>422</v>
      </c>
    </row>
    <row r="10" spans="1:11" x14ac:dyDescent="0.3">
      <c r="B10" s="22" t="s">
        <v>383</v>
      </c>
    </row>
    <row r="12" spans="1:11" x14ac:dyDescent="0.3">
      <c r="B12" s="6" t="s">
        <v>247</v>
      </c>
    </row>
    <row r="14" spans="1:11" x14ac:dyDescent="0.3">
      <c r="B14" s="6" t="s">
        <v>28</v>
      </c>
      <c r="C14" s="2" t="s">
        <v>38</v>
      </c>
      <c r="D14" s="2" t="s">
        <v>114</v>
      </c>
      <c r="E14" s="2" t="s">
        <v>44</v>
      </c>
      <c r="F14" s="2" t="s">
        <v>115</v>
      </c>
      <c r="G14" s="24" t="s">
        <v>116</v>
      </c>
    </row>
    <row r="16" spans="1:11" ht="15" thickBot="1" x14ac:dyDescent="0.35">
      <c r="B16" s="6" t="s">
        <v>106</v>
      </c>
    </row>
    <row r="17" spans="2:12" ht="15" thickBot="1" x14ac:dyDescent="0.35">
      <c r="B17" t="s">
        <v>174</v>
      </c>
      <c r="C17" s="1" t="s">
        <v>175</v>
      </c>
      <c r="D17" s="5">
        <v>38</v>
      </c>
      <c r="E17" s="1">
        <v>0.5</v>
      </c>
      <c r="F17" s="5">
        <f>D17*E17</f>
        <v>19</v>
      </c>
      <c r="G17" s="80">
        <v>0</v>
      </c>
    </row>
    <row r="18" spans="2:12" ht="15" thickBot="1" x14ac:dyDescent="0.35">
      <c r="B18" s="34" t="s">
        <v>143</v>
      </c>
      <c r="C18" s="1"/>
      <c r="E18" s="1"/>
      <c r="F18" s="5"/>
    </row>
    <row r="19" spans="2:12" ht="15" thickBot="1" x14ac:dyDescent="0.35">
      <c r="B19" t="s">
        <v>176</v>
      </c>
      <c r="C19" s="1" t="s">
        <v>40</v>
      </c>
      <c r="D19" s="5">
        <v>0.71</v>
      </c>
      <c r="E19" s="1">
        <v>20</v>
      </c>
      <c r="F19" s="5">
        <f t="shared" ref="F19:F25" si="0">D19*E19</f>
        <v>14.2</v>
      </c>
      <c r="G19" s="80">
        <v>0</v>
      </c>
    </row>
    <row r="20" spans="2:12" ht="15" thickBot="1" x14ac:dyDescent="0.35">
      <c r="B20" t="s">
        <v>177</v>
      </c>
      <c r="C20" s="1" t="s">
        <v>40</v>
      </c>
      <c r="D20" s="5">
        <v>0.55000000000000004</v>
      </c>
      <c r="E20" s="1">
        <v>50</v>
      </c>
      <c r="F20" s="5">
        <f t="shared" si="0"/>
        <v>27.500000000000004</v>
      </c>
      <c r="G20" s="80">
        <v>0</v>
      </c>
    </row>
    <row r="21" spans="2:12" ht="15" thickBot="1" x14ac:dyDescent="0.35">
      <c r="B21" t="s">
        <v>178</v>
      </c>
      <c r="C21" s="1" t="s">
        <v>40</v>
      </c>
      <c r="D21" s="5">
        <v>0.32</v>
      </c>
      <c r="E21" s="1">
        <v>21</v>
      </c>
      <c r="F21" s="5">
        <f t="shared" si="0"/>
        <v>6.72</v>
      </c>
      <c r="G21" s="80">
        <v>0</v>
      </c>
    </row>
    <row r="22" spans="2:12" ht="15" thickBot="1" x14ac:dyDescent="0.35">
      <c r="B22" t="s">
        <v>179</v>
      </c>
      <c r="C22" s="1" t="s">
        <v>40</v>
      </c>
      <c r="D22" s="5">
        <v>0.52</v>
      </c>
      <c r="E22" s="1">
        <v>28.5</v>
      </c>
      <c r="F22" s="5">
        <f t="shared" si="0"/>
        <v>14.82</v>
      </c>
      <c r="G22" s="80">
        <v>0</v>
      </c>
    </row>
    <row r="23" spans="2:12" ht="15" thickBot="1" x14ac:dyDescent="0.35">
      <c r="B23" t="s">
        <v>180</v>
      </c>
      <c r="C23" s="1" t="s">
        <v>40</v>
      </c>
      <c r="D23" s="5">
        <v>1.9</v>
      </c>
      <c r="E23" s="1">
        <v>3.6</v>
      </c>
      <c r="F23" s="5">
        <f t="shared" si="0"/>
        <v>6.84</v>
      </c>
      <c r="G23" s="80">
        <v>0</v>
      </c>
      <c r="I23" s="2"/>
      <c r="J23" s="2"/>
      <c r="L23" s="2"/>
    </row>
    <row r="24" spans="2:12" ht="15" thickBot="1" x14ac:dyDescent="0.35">
      <c r="B24" t="s">
        <v>181</v>
      </c>
      <c r="C24" s="1" t="s">
        <v>39</v>
      </c>
      <c r="D24" s="5">
        <v>2</v>
      </c>
      <c r="E24" s="1">
        <v>1</v>
      </c>
      <c r="F24" s="5">
        <f t="shared" si="0"/>
        <v>2</v>
      </c>
      <c r="G24" s="80">
        <v>0</v>
      </c>
    </row>
    <row r="25" spans="2:12" ht="15" thickBot="1" x14ac:dyDescent="0.35">
      <c r="B25" t="s">
        <v>182</v>
      </c>
      <c r="C25" s="1" t="s">
        <v>39</v>
      </c>
      <c r="D25" s="5">
        <v>25</v>
      </c>
      <c r="E25" s="1">
        <v>0.25</v>
      </c>
      <c r="F25" s="5">
        <f t="shared" si="0"/>
        <v>6.25</v>
      </c>
      <c r="G25" s="80">
        <v>0</v>
      </c>
      <c r="J25" s="5"/>
    </row>
    <row r="26" spans="2:12" ht="15" thickBot="1" x14ac:dyDescent="0.35">
      <c r="B26" s="34" t="s">
        <v>144</v>
      </c>
      <c r="C26" s="1"/>
      <c r="J26" s="5"/>
    </row>
    <row r="27" spans="2:12" ht="15" thickBot="1" x14ac:dyDescent="0.35">
      <c r="B27" t="s">
        <v>148</v>
      </c>
      <c r="C27" t="s">
        <v>39</v>
      </c>
      <c r="D27" s="1">
        <v>1</v>
      </c>
      <c r="E27" s="1">
        <v>58.52</v>
      </c>
      <c r="F27" s="5">
        <f t="shared" ref="F27:F28" si="1">D27*E27</f>
        <v>58.52</v>
      </c>
      <c r="G27" s="80">
        <v>0</v>
      </c>
      <c r="J27" s="5"/>
    </row>
    <row r="28" spans="2:12" ht="15" thickBot="1" x14ac:dyDescent="0.35">
      <c r="B28" t="s">
        <v>149</v>
      </c>
      <c r="C28" t="s">
        <v>39</v>
      </c>
      <c r="D28" s="1">
        <v>1</v>
      </c>
      <c r="E28" s="1">
        <v>341.43</v>
      </c>
      <c r="F28" s="5">
        <f t="shared" si="1"/>
        <v>341.43</v>
      </c>
      <c r="G28" s="80">
        <v>0</v>
      </c>
      <c r="J28" s="5"/>
    </row>
    <row r="29" spans="2:12" ht="15" thickBot="1" x14ac:dyDescent="0.35">
      <c r="B29" t="s">
        <v>150</v>
      </c>
      <c r="C29" t="s">
        <v>39</v>
      </c>
      <c r="D29" s="1">
        <v>1</v>
      </c>
      <c r="E29" s="1">
        <v>230.82</v>
      </c>
      <c r="F29" s="5">
        <v>384.69</v>
      </c>
      <c r="G29" s="80">
        <v>0</v>
      </c>
      <c r="J29" s="5"/>
    </row>
    <row r="30" spans="2:12" ht="15" thickBot="1" x14ac:dyDescent="0.35">
      <c r="B30" s="34" t="s">
        <v>33</v>
      </c>
      <c r="C30" s="1"/>
      <c r="D30" s="5"/>
      <c r="E30" s="1"/>
      <c r="F30" s="5"/>
      <c r="J30" s="5"/>
    </row>
    <row r="31" spans="2:12" ht="15" thickBot="1" x14ac:dyDescent="0.35">
      <c r="B31" t="s">
        <v>184</v>
      </c>
      <c r="C31" s="1" t="s">
        <v>39</v>
      </c>
      <c r="D31" s="5">
        <v>100</v>
      </c>
      <c r="E31" s="1">
        <v>1</v>
      </c>
      <c r="F31" s="5">
        <f t="shared" ref="F31" si="2">D31*E31</f>
        <v>100</v>
      </c>
      <c r="G31" s="80">
        <v>0</v>
      </c>
      <c r="J31" s="5"/>
    </row>
    <row r="32" spans="2:12" ht="15" thickBot="1" x14ac:dyDescent="0.35">
      <c r="B32" t="s">
        <v>185</v>
      </c>
      <c r="C32" s="1" t="s">
        <v>41</v>
      </c>
      <c r="D32" s="5">
        <v>18</v>
      </c>
      <c r="E32" s="1">
        <v>27</v>
      </c>
      <c r="F32" s="5">
        <v>486</v>
      </c>
      <c r="G32" s="80">
        <v>0</v>
      </c>
      <c r="J32" s="5"/>
    </row>
    <row r="33" spans="2:10" ht="15" thickBot="1" x14ac:dyDescent="0.35">
      <c r="B33" t="s">
        <v>34</v>
      </c>
      <c r="C33" s="1" t="s">
        <v>41</v>
      </c>
      <c r="D33" s="5">
        <v>20</v>
      </c>
      <c r="E33" s="1">
        <v>8.4</v>
      </c>
      <c r="F33" s="5">
        <v>168</v>
      </c>
      <c r="G33" s="80">
        <v>0</v>
      </c>
      <c r="J33" s="5"/>
    </row>
    <row r="34" spans="2:10" x14ac:dyDescent="0.3">
      <c r="B34" t="s">
        <v>186</v>
      </c>
      <c r="C34" s="1" t="s">
        <v>42</v>
      </c>
      <c r="D34" s="9" t="str">
        <f>CONCATENATE("$",Parameters!D$24," or $",Parameters!D$23)</f>
        <v>$1.95 or $2.4</v>
      </c>
      <c r="E34" s="3"/>
      <c r="F34" s="71" t="s">
        <v>79</v>
      </c>
      <c r="G34" s="71" t="s">
        <v>79</v>
      </c>
      <c r="H34" s="47" t="s">
        <v>380</v>
      </c>
      <c r="I34" s="22" t="s">
        <v>400</v>
      </c>
    </row>
    <row r="35" spans="2:10" x14ac:dyDescent="0.3">
      <c r="C35" s="1"/>
      <c r="D35" s="9"/>
      <c r="E35" s="3"/>
      <c r="F35" s="71"/>
      <c r="G35" s="71"/>
      <c r="H35" s="47"/>
      <c r="I35" s="22" t="s">
        <v>401</v>
      </c>
    </row>
    <row r="36" spans="2:10" x14ac:dyDescent="0.3">
      <c r="B36" t="s">
        <v>187</v>
      </c>
      <c r="C36" s="1" t="s">
        <v>188</v>
      </c>
      <c r="D36" s="9">
        <f>Parameters!$D$17</f>
        <v>1.85</v>
      </c>
      <c r="E36" s="3"/>
      <c r="F36" s="71" t="s">
        <v>79</v>
      </c>
      <c r="G36" s="71" t="s">
        <v>79</v>
      </c>
      <c r="H36" s="47" t="s">
        <v>380</v>
      </c>
      <c r="I36" s="22" t="s">
        <v>385</v>
      </c>
      <c r="J36" s="5"/>
    </row>
    <row r="37" spans="2:10" ht="15" thickBot="1" x14ac:dyDescent="0.35">
      <c r="B37" s="34" t="s">
        <v>35</v>
      </c>
      <c r="C37" s="1"/>
      <c r="D37" s="5"/>
      <c r="E37" s="1"/>
      <c r="F37" s="5"/>
      <c r="I37" s="22" t="s">
        <v>384</v>
      </c>
      <c r="J37" s="5"/>
    </row>
    <row r="38" spans="2:10" ht="15" thickBot="1" x14ac:dyDescent="0.35">
      <c r="B38" t="s">
        <v>349</v>
      </c>
      <c r="C38" s="1" t="s">
        <v>350</v>
      </c>
      <c r="D38" s="5">
        <v>0</v>
      </c>
      <c r="E38" s="1">
        <v>0</v>
      </c>
      <c r="F38" s="5">
        <f>D38*E38</f>
        <v>0</v>
      </c>
      <c r="G38" s="80">
        <v>0</v>
      </c>
      <c r="I38" s="22" t="s">
        <v>379</v>
      </c>
      <c r="J38" s="5"/>
    </row>
    <row r="39" spans="2:10" ht="15" thickBot="1" x14ac:dyDescent="0.35">
      <c r="B39" t="s">
        <v>189</v>
      </c>
      <c r="C39" s="1" t="s">
        <v>39</v>
      </c>
      <c r="D39" s="5">
        <v>50</v>
      </c>
      <c r="E39" s="1">
        <v>1</v>
      </c>
      <c r="F39" s="5">
        <f>D39*E39</f>
        <v>50</v>
      </c>
      <c r="G39" s="80">
        <v>0</v>
      </c>
      <c r="J39" s="5"/>
    </row>
    <row r="40" spans="2:10" ht="15" thickBot="1" x14ac:dyDescent="0.35">
      <c r="B40" t="s">
        <v>36</v>
      </c>
      <c r="C40" s="1" t="s">
        <v>42</v>
      </c>
      <c r="D40" s="5">
        <v>0.8</v>
      </c>
      <c r="E40" s="1">
        <v>400</v>
      </c>
      <c r="F40" s="5">
        <f>D40*E40</f>
        <v>320</v>
      </c>
      <c r="G40" s="80">
        <v>0</v>
      </c>
      <c r="J40" s="5"/>
    </row>
    <row r="41" spans="2:10" ht="15" thickBot="1" x14ac:dyDescent="0.35">
      <c r="B41" t="s">
        <v>183</v>
      </c>
      <c r="C41" s="1" t="s">
        <v>40</v>
      </c>
      <c r="D41" s="5">
        <v>2.1800000000000002</v>
      </c>
      <c r="E41" s="1">
        <v>10</v>
      </c>
      <c r="F41" s="5">
        <f>D41*E41</f>
        <v>21.8</v>
      </c>
      <c r="G41" s="80">
        <v>0</v>
      </c>
      <c r="J41" s="5"/>
    </row>
    <row r="42" spans="2:10" ht="15" thickBot="1" x14ac:dyDescent="0.35">
      <c r="B42" t="s">
        <v>190</v>
      </c>
      <c r="C42" s="1" t="s">
        <v>43</v>
      </c>
      <c r="D42" s="5">
        <v>4.25</v>
      </c>
      <c r="E42" s="1">
        <v>60</v>
      </c>
      <c r="F42" s="5">
        <f>D42*E42</f>
        <v>255</v>
      </c>
      <c r="G42" s="80">
        <v>0</v>
      </c>
      <c r="J42" s="5"/>
    </row>
    <row r="43" spans="2:10" ht="15" thickBot="1" x14ac:dyDescent="0.35">
      <c r="B43" s="34" t="s">
        <v>37</v>
      </c>
      <c r="C43" s="1"/>
      <c r="D43" s="5"/>
      <c r="E43" s="1"/>
      <c r="F43" s="5"/>
      <c r="J43" s="5"/>
    </row>
    <row r="44" spans="2:10" ht="15" thickBot="1" x14ac:dyDescent="0.35">
      <c r="B44" t="s">
        <v>191</v>
      </c>
      <c r="C44" s="1" t="s">
        <v>39</v>
      </c>
      <c r="D44" s="5">
        <v>26.38</v>
      </c>
      <c r="E44" s="1">
        <v>1</v>
      </c>
      <c r="F44" s="5">
        <f>D44*E44</f>
        <v>26.38</v>
      </c>
      <c r="G44" s="80">
        <v>0</v>
      </c>
      <c r="J44" s="5"/>
    </row>
    <row r="45" spans="2:10" ht="15" thickBot="1" x14ac:dyDescent="0.35">
      <c r="B45" t="s">
        <v>192</v>
      </c>
      <c r="C45" s="1" t="s">
        <v>39</v>
      </c>
      <c r="D45" s="5">
        <v>78.25</v>
      </c>
      <c r="E45" s="1">
        <v>1</v>
      </c>
      <c r="F45" s="5">
        <f>D45*E45</f>
        <v>78.25</v>
      </c>
      <c r="G45" s="80">
        <v>0</v>
      </c>
      <c r="J45" s="5"/>
    </row>
    <row r="46" spans="2:10" x14ac:dyDescent="0.3">
      <c r="B46" t="s">
        <v>163</v>
      </c>
      <c r="C46" s="1" t="s">
        <v>39</v>
      </c>
      <c r="D46" s="65">
        <f>Parameters!D$6</f>
        <v>5.5E-2</v>
      </c>
      <c r="E46" s="2"/>
      <c r="F46" s="71" t="s">
        <v>79</v>
      </c>
      <c r="G46" s="71" t="s">
        <v>79</v>
      </c>
      <c r="H46" s="47" t="s">
        <v>380</v>
      </c>
      <c r="I46" s="46" t="s">
        <v>382</v>
      </c>
      <c r="J46" s="5"/>
    </row>
    <row r="47" spans="2:10" x14ac:dyDescent="0.3">
      <c r="C47" s="1"/>
      <c r="D47" s="5"/>
      <c r="E47" s="1"/>
      <c r="F47" s="5"/>
      <c r="G47" s="46"/>
      <c r="J47" s="5"/>
    </row>
    <row r="48" spans="2:10" x14ac:dyDescent="0.3">
      <c r="B48" s="6" t="s">
        <v>127</v>
      </c>
      <c r="D48" s="5"/>
      <c r="F48" s="5">
        <f>SUM(F17:F46)</f>
        <v>2387.4</v>
      </c>
      <c r="G48" s="10">
        <f>SUM(G17:G46)</f>
        <v>0</v>
      </c>
      <c r="J48" s="5"/>
    </row>
    <row r="49" spans="2:22" x14ac:dyDescent="0.3">
      <c r="J49" s="5"/>
    </row>
    <row r="50" spans="2:22" ht="15" thickBot="1" x14ac:dyDescent="0.35">
      <c r="B50" s="6" t="s">
        <v>108</v>
      </c>
      <c r="D50" s="5"/>
      <c r="F50" s="5"/>
      <c r="J50" s="5"/>
    </row>
    <row r="51" spans="2:22" ht="15" thickBot="1" x14ac:dyDescent="0.35">
      <c r="B51" t="s">
        <v>191</v>
      </c>
      <c r="C51" s="1" t="s">
        <v>39</v>
      </c>
      <c r="D51" s="5">
        <v>81.78</v>
      </c>
      <c r="E51" s="1">
        <v>1</v>
      </c>
      <c r="F51" s="5">
        <f t="shared" ref="F51:F52" si="3">D51*E51</f>
        <v>81.78</v>
      </c>
      <c r="G51" s="80">
        <v>0</v>
      </c>
      <c r="J51" s="5"/>
    </row>
    <row r="52" spans="2:22" ht="15" thickBot="1" x14ac:dyDescent="0.35">
      <c r="B52" t="s">
        <v>192</v>
      </c>
      <c r="C52" s="1" t="s">
        <v>39</v>
      </c>
      <c r="D52" s="5">
        <v>121.92</v>
      </c>
      <c r="E52" s="1">
        <v>1</v>
      </c>
      <c r="F52" s="5">
        <f t="shared" si="3"/>
        <v>121.92</v>
      </c>
      <c r="G52" s="80">
        <v>0</v>
      </c>
      <c r="J52" s="5"/>
    </row>
    <row r="53" spans="2:22" ht="15" thickBot="1" x14ac:dyDescent="0.35">
      <c r="B53" t="s">
        <v>193</v>
      </c>
      <c r="C53" s="1" t="s">
        <v>39</v>
      </c>
      <c r="D53" s="5">
        <v>200</v>
      </c>
      <c r="E53" s="1">
        <v>1</v>
      </c>
      <c r="F53" s="5">
        <f>D53*E53</f>
        <v>200</v>
      </c>
      <c r="G53" s="80">
        <v>0</v>
      </c>
      <c r="J53" s="5"/>
    </row>
    <row r="54" spans="2:22" x14ac:dyDescent="0.3">
      <c r="C54" s="1"/>
      <c r="D54" s="5"/>
      <c r="E54" s="1"/>
      <c r="F54" s="5"/>
      <c r="J54" s="5"/>
      <c r="V54" s="4">
        <f>SUM(F17:F45)*0.06</f>
        <v>143.244</v>
      </c>
    </row>
    <row r="55" spans="2:22" x14ac:dyDescent="0.3">
      <c r="B55" s="6" t="s">
        <v>130</v>
      </c>
      <c r="D55" s="5"/>
      <c r="F55" s="5">
        <f>SUM(F51:F53)</f>
        <v>403.7</v>
      </c>
      <c r="G55" s="67">
        <f>SUM(G51:G53)</f>
        <v>0</v>
      </c>
      <c r="J55" s="5"/>
    </row>
    <row r="56" spans="2:22" x14ac:dyDescent="0.3">
      <c r="D56" s="5"/>
      <c r="F56" s="5"/>
      <c r="G56" s="66"/>
      <c r="J56" s="5"/>
    </row>
    <row r="57" spans="2:22" x14ac:dyDescent="0.3">
      <c r="B57" s="6" t="s">
        <v>131</v>
      </c>
      <c r="D57" s="5"/>
      <c r="F57" s="5">
        <f>F48+F55</f>
        <v>2791.1</v>
      </c>
      <c r="G57" s="67">
        <f>G48+G55</f>
        <v>0</v>
      </c>
      <c r="J57" s="5"/>
    </row>
    <row r="58" spans="2:22" ht="15" thickBot="1" x14ac:dyDescent="0.35">
      <c r="J58" s="5"/>
    </row>
    <row r="59" spans="2:22" ht="15.6" thickTop="1" thickBot="1" x14ac:dyDescent="0.35">
      <c r="F59" s="158" t="s">
        <v>374</v>
      </c>
      <c r="G59" s="162"/>
      <c r="J59" s="5"/>
    </row>
    <row r="60" spans="2:22" ht="15" thickTop="1" x14ac:dyDescent="0.3">
      <c r="J60" s="5"/>
    </row>
    <row r="61" spans="2:22" x14ac:dyDescent="0.3">
      <c r="J61" s="5"/>
    </row>
    <row r="62" spans="2:22" x14ac:dyDescent="0.3">
      <c r="J62" s="5"/>
    </row>
    <row r="63" spans="2:22" x14ac:dyDescent="0.3">
      <c r="J63" s="5"/>
    </row>
    <row r="64" spans="2:22" x14ac:dyDescent="0.3">
      <c r="J64" s="5"/>
    </row>
    <row r="65" spans="4:10" x14ac:dyDescent="0.3">
      <c r="J65" s="5"/>
    </row>
    <row r="66" spans="4:10" x14ac:dyDescent="0.3">
      <c r="D66" s="1"/>
      <c r="F66" s="5"/>
      <c r="H66" s="1"/>
      <c r="J66" s="5"/>
    </row>
    <row r="67" spans="4:10" x14ac:dyDescent="0.3">
      <c r="D67" s="1"/>
      <c r="F67" s="5"/>
      <c r="H67" s="1"/>
      <c r="J67" s="5"/>
    </row>
    <row r="68" spans="4:10" x14ac:dyDescent="0.3">
      <c r="D68" s="1"/>
      <c r="F68" s="5"/>
      <c r="H68" s="1"/>
      <c r="J68" s="5"/>
    </row>
    <row r="69" spans="4:10" x14ac:dyDescent="0.3">
      <c r="D69" s="1"/>
      <c r="F69" s="5"/>
      <c r="H69" s="1"/>
      <c r="J69" s="5"/>
    </row>
    <row r="70" spans="4:10" x14ac:dyDescent="0.3">
      <c r="D70" s="1"/>
      <c r="F70" s="5"/>
      <c r="H70" s="1"/>
      <c r="J70" s="5"/>
    </row>
    <row r="71" spans="4:10" x14ac:dyDescent="0.3">
      <c r="D71" s="1"/>
      <c r="F71" s="5"/>
      <c r="H71" s="1"/>
      <c r="J71" s="5"/>
    </row>
    <row r="72" spans="4:10" x14ac:dyDescent="0.3">
      <c r="D72" s="1"/>
      <c r="F72" s="5"/>
      <c r="H72" s="3"/>
      <c r="J72" s="5"/>
    </row>
    <row r="73" spans="4:10" x14ac:dyDescent="0.3">
      <c r="D73" s="1"/>
      <c r="F73" s="5"/>
      <c r="H73" s="3"/>
      <c r="J73" s="5"/>
    </row>
    <row r="74" spans="4:10" x14ac:dyDescent="0.3">
      <c r="D74" s="1"/>
      <c r="F74" s="5"/>
      <c r="H74" s="1"/>
      <c r="J74" s="5"/>
    </row>
    <row r="75" spans="4:10" x14ac:dyDescent="0.3">
      <c r="D75" s="1"/>
      <c r="F75" s="5"/>
      <c r="H75" s="1"/>
      <c r="J75" s="5"/>
    </row>
    <row r="76" spans="4:10" x14ac:dyDescent="0.3">
      <c r="D76" s="1"/>
      <c r="F76" s="5"/>
      <c r="H76" s="1"/>
      <c r="J76" s="5"/>
    </row>
    <row r="77" spans="4:10" x14ac:dyDescent="0.3">
      <c r="D77" s="1"/>
      <c r="F77" s="5"/>
      <c r="H77" s="1"/>
      <c r="J77" s="5"/>
    </row>
    <row r="78" spans="4:10" x14ac:dyDescent="0.3">
      <c r="D78" s="1"/>
      <c r="F78" s="5"/>
      <c r="H78" s="1"/>
      <c r="J78" s="5"/>
    </row>
    <row r="79" spans="4:10" x14ac:dyDescent="0.3">
      <c r="D79" s="1"/>
      <c r="F79" s="5"/>
      <c r="H79" s="1"/>
      <c r="J79" s="5"/>
    </row>
    <row r="80" spans="4:10" x14ac:dyDescent="0.3">
      <c r="D80" s="1"/>
      <c r="F80" s="5"/>
      <c r="H80" s="1"/>
      <c r="J80" s="5"/>
    </row>
    <row r="81" spans="4:10" x14ac:dyDescent="0.3">
      <c r="D81" s="1"/>
      <c r="F81" s="5"/>
      <c r="H81" s="1"/>
      <c r="J81" s="5"/>
    </row>
    <row r="82" spans="4:10" x14ac:dyDescent="0.3">
      <c r="D82" s="1"/>
      <c r="F82" s="5"/>
      <c r="H82" s="1"/>
      <c r="J82" s="5"/>
    </row>
    <row r="83" spans="4:10" x14ac:dyDescent="0.3">
      <c r="D83" s="1"/>
      <c r="F83" s="5"/>
      <c r="H83" s="1"/>
      <c r="J83" s="5"/>
    </row>
    <row r="84" spans="4:10" x14ac:dyDescent="0.3">
      <c r="D84" s="1"/>
      <c r="F84" s="5"/>
      <c r="H84" s="1"/>
      <c r="J84" s="5"/>
    </row>
    <row r="85" spans="4:10" x14ac:dyDescent="0.3">
      <c r="F85" s="5"/>
      <c r="J85" s="5"/>
    </row>
    <row r="86" spans="4:10" x14ac:dyDescent="0.3">
      <c r="F86" s="5"/>
      <c r="J86" s="5"/>
    </row>
    <row r="87" spans="4:10" x14ac:dyDescent="0.3">
      <c r="F87" s="5"/>
      <c r="J87" s="5"/>
    </row>
    <row r="88" spans="4:10" x14ac:dyDescent="0.3">
      <c r="D88" s="1"/>
      <c r="F88" s="5"/>
      <c r="H88" s="1"/>
      <c r="J88" s="5"/>
    </row>
    <row r="89" spans="4:10" x14ac:dyDescent="0.3">
      <c r="D89" s="1"/>
      <c r="F89" s="5"/>
      <c r="H89" s="1"/>
      <c r="J89" s="5"/>
    </row>
    <row r="90" spans="4:10" x14ac:dyDescent="0.3">
      <c r="D90" s="1"/>
      <c r="F90" s="5"/>
      <c r="H90" s="1"/>
      <c r="J90" s="5"/>
    </row>
    <row r="91" spans="4:10" x14ac:dyDescent="0.3">
      <c r="F91" s="5"/>
      <c r="J91" s="5"/>
    </row>
    <row r="92" spans="4:10" x14ac:dyDescent="0.3">
      <c r="F92" s="5"/>
      <c r="J92" s="5"/>
    </row>
  </sheetData>
  <sheetProtection sheet="1" objects="1" scenarios="1" selectLockedCells="1"/>
  <mergeCells count="1">
    <mergeCell ref="F59:G5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DA99-E1DC-42BB-95AE-1ABEEE525A6D}">
  <dimension ref="A1:X45"/>
  <sheetViews>
    <sheetView workbookViewId="0">
      <selection activeCell="A2" sqref="A2"/>
    </sheetView>
  </sheetViews>
  <sheetFormatPr defaultRowHeight="14.4" x14ac:dyDescent="0.3"/>
  <cols>
    <col min="1" max="1" width="6.77734375" customWidth="1"/>
    <col min="2" max="8" width="8.77734375" customWidth="1"/>
    <col min="9" max="9" width="6.77734375" customWidth="1"/>
    <col min="10" max="16" width="8.77734375" customWidth="1"/>
    <col min="17" max="17" width="6.77734375" customWidth="1"/>
    <col min="18" max="24" width="8.77734375" customWidth="1"/>
  </cols>
  <sheetData>
    <row r="1" spans="1:21" ht="21" x14ac:dyDescent="0.4">
      <c r="A1" s="78" t="s">
        <v>428</v>
      </c>
    </row>
    <row r="3" spans="1:21" ht="18" x14ac:dyDescent="0.35">
      <c r="B3" s="163" t="s">
        <v>24</v>
      </c>
      <c r="C3" s="163"/>
      <c r="D3" s="20"/>
      <c r="J3" s="163" t="s">
        <v>24</v>
      </c>
      <c r="K3" s="163"/>
      <c r="L3" s="163"/>
      <c r="Q3" s="20"/>
      <c r="R3" s="163" t="s">
        <v>24</v>
      </c>
      <c r="S3" s="163"/>
      <c r="T3" s="163"/>
    </row>
    <row r="4" spans="1:21" ht="15.6" x14ac:dyDescent="0.3">
      <c r="B4" s="164" t="s">
        <v>240</v>
      </c>
      <c r="C4" s="164"/>
      <c r="D4" s="33"/>
      <c r="J4" s="164" t="s">
        <v>444</v>
      </c>
      <c r="K4" s="164"/>
      <c r="L4" s="164"/>
      <c r="R4" s="164" t="s">
        <v>45</v>
      </c>
      <c r="S4" s="164"/>
      <c r="T4" s="164"/>
    </row>
    <row r="5" spans="1:21" ht="15.6" x14ac:dyDescent="0.3">
      <c r="J5" s="33"/>
      <c r="K5" s="33"/>
      <c r="L5" s="33"/>
      <c r="R5" s="33"/>
      <c r="S5" s="33"/>
      <c r="T5" s="33"/>
    </row>
    <row r="6" spans="1:21" x14ac:dyDescent="0.3">
      <c r="B6" s="6" t="s">
        <v>409</v>
      </c>
      <c r="D6" s="72">
        <f>NPV(Parameters!$D$6,G24:G33)</f>
        <v>19802.167637430055</v>
      </c>
      <c r="J6" s="6" t="s">
        <v>409</v>
      </c>
      <c r="L6" s="72">
        <f>NPV(Parameters!$D$6,O24:O33)</f>
        <v>89038.98449636584</v>
      </c>
      <c r="R6" s="6" t="s">
        <v>409</v>
      </c>
      <c r="T6" s="72">
        <f>NPV(Parameters!$D$6,W24:W33)</f>
        <v>75178.561367239425</v>
      </c>
    </row>
    <row r="7" spans="1:21" x14ac:dyDescent="0.3">
      <c r="B7" s="6" t="s">
        <v>410</v>
      </c>
      <c r="D7" s="72">
        <f>NPV(Parameters!$D$6,G24:G38)</f>
        <v>23378.579675207242</v>
      </c>
      <c r="J7" s="6" t="s">
        <v>410</v>
      </c>
      <c r="L7" s="72">
        <f>NPV(Parameters!$D$6,O24:O38)</f>
        <v>150075.22737911492</v>
      </c>
      <c r="R7" s="6" t="s">
        <v>410</v>
      </c>
      <c r="T7" s="72">
        <f>NPV(Parameters!$D$6,W24:W38)</f>
        <v>151270.04269267624</v>
      </c>
    </row>
    <row r="8" spans="1:21" x14ac:dyDescent="0.3">
      <c r="B8" s="6" t="s">
        <v>411</v>
      </c>
      <c r="C8" s="6"/>
      <c r="D8" s="72">
        <f>NPV(Parameters!$D$6,G24:G43)</f>
        <v>26115.015388800875</v>
      </c>
      <c r="J8" s="6" t="s">
        <v>411</v>
      </c>
      <c r="K8" s="6"/>
      <c r="L8" s="72">
        <f>NPV(Parameters!$D$6,O24:O43)</f>
        <v>196776.15363808637</v>
      </c>
      <c r="R8" s="6" t="s">
        <v>411</v>
      </c>
      <c r="S8" s="6"/>
      <c r="T8" s="72">
        <f>NPV(Parameters!$D$6,W24:W43)</f>
        <v>209490.24908941504</v>
      </c>
    </row>
    <row r="9" spans="1:21" x14ac:dyDescent="0.3">
      <c r="J9" s="6" t="s">
        <v>397</v>
      </c>
      <c r="K9" s="6"/>
      <c r="L9" s="73">
        <f>IRR(P24:P43,0)</f>
        <v>0.5881414738167976</v>
      </c>
      <c r="R9" s="63" t="s">
        <v>397</v>
      </c>
      <c r="S9" s="63"/>
      <c r="T9" s="73">
        <f>IRR(X24:X43,0)</f>
        <v>0.39502847700077193</v>
      </c>
    </row>
    <row r="10" spans="1:21" x14ac:dyDescent="0.3">
      <c r="N10" s="4"/>
    </row>
    <row r="11" spans="1:21" x14ac:dyDescent="0.3">
      <c r="J11" s="6" t="s">
        <v>416</v>
      </c>
      <c r="R11" s="6" t="s">
        <v>415</v>
      </c>
    </row>
    <row r="12" spans="1:21" x14ac:dyDescent="0.3">
      <c r="J12" t="s">
        <v>10</v>
      </c>
      <c r="L12" s="74">
        <f>'Grafting Prep'!$D$92</f>
        <v>3402.059256</v>
      </c>
    </row>
    <row r="13" spans="1:21" x14ac:dyDescent="0.3">
      <c r="J13" t="s">
        <v>13</v>
      </c>
      <c r="L13" s="74">
        <f>Grafting!C$80</f>
        <v>2075</v>
      </c>
      <c r="R13" t="s">
        <v>396</v>
      </c>
      <c r="T13" s="74">
        <f>MAX('Land prep'!I$6:I$7)</f>
        <v>2359.0700000000002</v>
      </c>
    </row>
    <row r="14" spans="1:21" ht="15" thickBot="1" x14ac:dyDescent="0.35">
      <c r="J14" t="s">
        <v>236</v>
      </c>
      <c r="L14" s="75">
        <f>'Year After Grafting'!C$69</f>
        <v>4643.5200000000004</v>
      </c>
      <c r="R14" t="s">
        <v>31</v>
      </c>
      <c r="T14" s="75">
        <f>MAX(Planting!I$7:I$8)</f>
        <v>23014.120000000003</v>
      </c>
    </row>
    <row r="15" spans="1:21" x14ac:dyDescent="0.3">
      <c r="L15" s="74"/>
      <c r="T15" s="17"/>
    </row>
    <row r="16" spans="1:21" x14ac:dyDescent="0.3">
      <c r="E16" s="68"/>
      <c r="J16" s="6" t="s">
        <v>235</v>
      </c>
      <c r="L16" s="76">
        <f>SUM(L12:L15)</f>
        <v>10120.579256000001</v>
      </c>
      <c r="R16" s="6" t="s">
        <v>235</v>
      </c>
      <c r="T16" s="76">
        <f>SUM(T13:T15)</f>
        <v>25373.190000000002</v>
      </c>
      <c r="U16" s="42"/>
    </row>
    <row r="17" spans="1:24" x14ac:dyDescent="0.3">
      <c r="A17" s="6"/>
      <c r="J17" s="6"/>
      <c r="L17" s="67"/>
      <c r="R17" s="6"/>
      <c r="T17" s="67"/>
    </row>
    <row r="18" spans="1:24" x14ac:dyDescent="0.3">
      <c r="B18" s="6" t="s">
        <v>412</v>
      </c>
      <c r="J18" s="6" t="s">
        <v>413</v>
      </c>
      <c r="M18" s="6"/>
      <c r="N18" s="6"/>
      <c r="O18" s="6"/>
      <c r="P18" s="6"/>
      <c r="R18" s="6" t="s">
        <v>414</v>
      </c>
      <c r="U18" s="6"/>
      <c r="V18" s="6"/>
      <c r="W18" s="6"/>
    </row>
    <row r="19" spans="1:24" x14ac:dyDescent="0.3">
      <c r="B19" s="6"/>
      <c r="J19" s="6"/>
      <c r="M19" s="6"/>
      <c r="N19" s="6"/>
      <c r="O19" s="6"/>
      <c r="P19" s="6"/>
      <c r="R19" s="6"/>
      <c r="U19" s="6"/>
      <c r="V19" s="6"/>
      <c r="W19" s="6"/>
    </row>
    <row r="20" spans="1:24" x14ac:dyDescent="0.3">
      <c r="B20" s="6"/>
      <c r="C20" s="6" t="s">
        <v>35</v>
      </c>
      <c r="D20" s="6"/>
      <c r="E20" s="6"/>
      <c r="F20" s="6" t="s">
        <v>393</v>
      </c>
      <c r="G20" s="6"/>
      <c r="H20" s="6"/>
      <c r="I20" s="6"/>
      <c r="J20" s="6"/>
      <c r="K20" s="6" t="s">
        <v>35</v>
      </c>
      <c r="L20" s="6"/>
      <c r="M20" s="6"/>
      <c r="N20" s="6" t="s">
        <v>393</v>
      </c>
      <c r="O20" s="6"/>
      <c r="P20" s="6"/>
      <c r="Q20" s="6"/>
      <c r="R20" s="6"/>
      <c r="S20" s="6" t="s">
        <v>35</v>
      </c>
      <c r="T20" s="6"/>
      <c r="U20" s="6"/>
      <c r="V20" s="6" t="s">
        <v>393</v>
      </c>
      <c r="W20" s="6"/>
      <c r="X20" s="6"/>
    </row>
    <row r="21" spans="1:24" x14ac:dyDescent="0.3">
      <c r="B21" s="6" t="s">
        <v>232</v>
      </c>
      <c r="C21" s="6" t="s">
        <v>408</v>
      </c>
      <c r="D21" s="6" t="s">
        <v>392</v>
      </c>
      <c r="E21" s="6" t="s">
        <v>231</v>
      </c>
      <c r="F21" s="6" t="s">
        <v>395</v>
      </c>
      <c r="G21" s="6" t="s">
        <v>233</v>
      </c>
      <c r="H21" s="6" t="s">
        <v>239</v>
      </c>
      <c r="I21" s="6"/>
      <c r="J21" s="6" t="s">
        <v>232</v>
      </c>
      <c r="K21" s="6" t="s">
        <v>408</v>
      </c>
      <c r="L21" s="6" t="s">
        <v>392</v>
      </c>
      <c r="M21" s="6" t="s">
        <v>231</v>
      </c>
      <c r="N21" s="6" t="s">
        <v>395</v>
      </c>
      <c r="O21" s="6" t="s">
        <v>233</v>
      </c>
      <c r="P21" s="6" t="s">
        <v>239</v>
      </c>
      <c r="Q21" s="6"/>
      <c r="R21" s="6" t="s">
        <v>232</v>
      </c>
      <c r="S21" s="6" t="s">
        <v>408</v>
      </c>
      <c r="T21" s="6" t="s">
        <v>392</v>
      </c>
      <c r="U21" s="6" t="s">
        <v>231</v>
      </c>
      <c r="V21" s="6" t="s">
        <v>395</v>
      </c>
      <c r="W21" s="6" t="s">
        <v>233</v>
      </c>
      <c r="X21" s="6" t="s">
        <v>239</v>
      </c>
    </row>
    <row r="22" spans="1:24" x14ac:dyDescent="0.3">
      <c r="A22" s="2" t="s">
        <v>92</v>
      </c>
      <c r="B22" s="6" t="s">
        <v>229</v>
      </c>
      <c r="C22" s="6" t="s">
        <v>238</v>
      </c>
      <c r="D22" s="6" t="s">
        <v>230</v>
      </c>
      <c r="E22" s="6" t="s">
        <v>230</v>
      </c>
      <c r="F22" s="6" t="s">
        <v>394</v>
      </c>
      <c r="G22" s="6" t="s">
        <v>229</v>
      </c>
      <c r="H22" s="6" t="s">
        <v>419</v>
      </c>
      <c r="I22" s="6"/>
      <c r="J22" s="6" t="s">
        <v>229</v>
      </c>
      <c r="K22" s="6" t="s">
        <v>238</v>
      </c>
      <c r="L22" s="6" t="s">
        <v>230</v>
      </c>
      <c r="M22" s="6" t="s">
        <v>230</v>
      </c>
      <c r="N22" s="6" t="s">
        <v>394</v>
      </c>
      <c r="O22" s="6" t="s">
        <v>229</v>
      </c>
      <c r="P22" s="6" t="s">
        <v>419</v>
      </c>
      <c r="Q22" s="6"/>
      <c r="R22" s="6" t="s">
        <v>229</v>
      </c>
      <c r="S22" s="6" t="s">
        <v>238</v>
      </c>
      <c r="T22" s="6" t="s">
        <v>230</v>
      </c>
      <c r="U22" s="6" t="s">
        <v>230</v>
      </c>
      <c r="V22" s="6" t="s">
        <v>394</v>
      </c>
      <c r="W22" s="6" t="s">
        <v>229</v>
      </c>
      <c r="X22" s="6" t="s">
        <v>419</v>
      </c>
    </row>
    <row r="23" spans="1:24" x14ac:dyDescent="0.3">
      <c r="A23" s="2"/>
    </row>
    <row r="24" spans="1:24" x14ac:dyDescent="0.3">
      <c r="A24" s="2">
        <v>1</v>
      </c>
      <c r="B24" s="84">
        <f>'Yield &amp; income projections'!D52</f>
        <v>9000</v>
      </c>
      <c r="C24" s="85">
        <f>MAX('Mature Year'!I$6:I$7)</f>
        <v>2791.1</v>
      </c>
      <c r="D24" s="85">
        <f>'Grafting Prep'!D$6*Parameters!D$22</f>
        <v>680</v>
      </c>
      <c r="E24" s="85">
        <f>'Yield &amp; income projections'!$D39*Parameters!$D$17</f>
        <v>1665</v>
      </c>
      <c r="F24" s="85">
        <f>(MAX('Mature Year'!$F$48:$G$48)+D24+E24)*Parameters!$D$6</f>
        <v>260.28199999999998</v>
      </c>
      <c r="G24" s="86">
        <f>B24-C24-D24-E24-F24</f>
        <v>3603.6179999999995</v>
      </c>
      <c r="H24" s="87">
        <f>G24+H23</f>
        <v>3603.6179999999995</v>
      </c>
      <c r="I24" s="88"/>
      <c r="J24" s="84">
        <f>'Yield &amp; income projections'!E52</f>
        <v>1000</v>
      </c>
      <c r="K24" s="85">
        <f>L12+L13+IF(J24&gt;0,MAX('Intermediate Year'!$I$6:$I$7),MAX('Non-Bearing Year'!$I$6:$I$7))</f>
        <v>8028.999256000001</v>
      </c>
      <c r="L24" s="85">
        <v>0</v>
      </c>
      <c r="M24" s="85">
        <f>'Yield &amp; income projections'!$E39*Parameters!$D$17</f>
        <v>185</v>
      </c>
      <c r="N24" s="85">
        <f>IF(J24&gt;0,(K24-MAX('Intermediate Year'!K6:K7)+L24+M24)*Parameters!$D$6,(K24-MAX('Non-Bearing Year'!K6:K7)+L24+M24)*Parameters!$D$6)</f>
        <v>430.05155908000006</v>
      </c>
      <c r="O24" s="86">
        <f t="shared" ref="O24:O43" si="0">J24-K24-L24-M24-N24</f>
        <v>-7644.0508150800015</v>
      </c>
      <c r="P24" s="87">
        <f>O24+P23</f>
        <v>-7644.0508150800015</v>
      </c>
      <c r="Q24" s="89"/>
      <c r="R24" s="84">
        <f>'Yield &amp; income projections'!F52</f>
        <v>0</v>
      </c>
      <c r="S24" s="85">
        <f>T13</f>
        <v>2359.0700000000002</v>
      </c>
      <c r="T24" s="85">
        <v>0</v>
      </c>
      <c r="U24" s="85">
        <v>0</v>
      </c>
      <c r="V24" s="85">
        <f>(S24-MAX('Land prep'!K6:K7)+T24+U24)*Parameters!$D$6</f>
        <v>115.38395000000001</v>
      </c>
      <c r="W24" s="86">
        <f t="shared" ref="W24:W43" si="1">R24-S24-T24-U24-V24</f>
        <v>-2474.4539500000001</v>
      </c>
      <c r="X24" s="87">
        <f>W24+X23</f>
        <v>-2474.4539500000001</v>
      </c>
    </row>
    <row r="25" spans="1:24" x14ac:dyDescent="0.3">
      <c r="A25" s="2">
        <v>2</v>
      </c>
      <c r="B25" s="84">
        <f>'Yield &amp; income projections'!D53</f>
        <v>9000</v>
      </c>
      <c r="C25" s="85">
        <f>MAX('Mature Year'!I$6:I$7)</f>
        <v>2791.1</v>
      </c>
      <c r="D25" s="85">
        <f>'Grafting Prep'!$D$6*Parameters!$D$22</f>
        <v>680</v>
      </c>
      <c r="E25" s="85">
        <f>'Yield &amp; income projections'!$D40*Parameters!$D$17</f>
        <v>1665</v>
      </c>
      <c r="F25" s="85">
        <f>(MAX('Mature Year'!F$48:G$48)+D25+E25)*Parameters!D$6</f>
        <v>260.28199999999998</v>
      </c>
      <c r="G25" s="86">
        <f t="shared" ref="G25:G43" si="2">B25-C25-D25-E25-F25</f>
        <v>3603.6179999999995</v>
      </c>
      <c r="H25" s="87">
        <f t="shared" ref="H25:H43" si="3">G25+H24</f>
        <v>7207.235999999999</v>
      </c>
      <c r="I25" s="88"/>
      <c r="J25" s="84">
        <f>'Yield &amp; income projections'!E53</f>
        <v>0</v>
      </c>
      <c r="K25" s="85">
        <f>L14+IF(J25&gt;0,MAX('Intermediate Year'!$I$6:$I$7),MAX('Non-Bearing Year'!$I$6:$I$7))</f>
        <v>7080.56</v>
      </c>
      <c r="L25" s="85">
        <f>'Grafting Prep'!$D$6*Parameters!$D$23</f>
        <v>652.79999999999995</v>
      </c>
      <c r="M25" s="85">
        <f>'Yield &amp; income projections'!$E40*Parameters!$D$17</f>
        <v>0</v>
      </c>
      <c r="N25" s="85">
        <f>(K25-MAX('Non-Bearing Year'!K6:K7)+L25+M25)*Parameters!$D$6</f>
        <v>403.61640000000006</v>
      </c>
      <c r="O25" s="86">
        <f t="shared" si="0"/>
        <v>-8136.9764000000005</v>
      </c>
      <c r="P25" s="87">
        <f t="shared" ref="P25:P43" si="4">O25+P24</f>
        <v>-15781.027215080001</v>
      </c>
      <c r="Q25" s="89"/>
      <c r="R25" s="84">
        <f>'Yield &amp; income projections'!F53</f>
        <v>0</v>
      </c>
      <c r="S25" s="85">
        <f>T14</f>
        <v>23014.120000000003</v>
      </c>
      <c r="T25" s="85">
        <v>0</v>
      </c>
      <c r="U25" s="85">
        <f>'Yield &amp; income projections'!$E40*Parameters!$D$17</f>
        <v>0</v>
      </c>
      <c r="V25" s="85">
        <f>(S25-MAX(Planting!K6:K8)+T25+U25)*Parameters!$D$6</f>
        <v>1235.6597000000002</v>
      </c>
      <c r="W25" s="86">
        <f t="shared" si="1"/>
        <v>-24249.779700000003</v>
      </c>
      <c r="X25" s="87">
        <f t="shared" ref="X25:X43" si="5">W25+X24</f>
        <v>-26724.233650000002</v>
      </c>
    </row>
    <row r="26" spans="1:24" x14ac:dyDescent="0.3">
      <c r="A26" s="2">
        <v>3</v>
      </c>
      <c r="B26" s="84">
        <f>'Yield &amp; income projections'!D54</f>
        <v>8100</v>
      </c>
      <c r="C26" s="85">
        <f>MAX('Mature Year'!I$6:I$7)</f>
        <v>2791.1</v>
      </c>
      <c r="D26" s="85">
        <f>'Grafting Prep'!D$6*Parameters!D$22</f>
        <v>680</v>
      </c>
      <c r="E26" s="85">
        <f>'Yield &amp; income projections'!$D41*Parameters!$D$17</f>
        <v>1498.5</v>
      </c>
      <c r="F26" s="85">
        <f>(MAX('Mature Year'!F$48:G$48)+D26+E26)*Parameters!D$6</f>
        <v>251.12449999999998</v>
      </c>
      <c r="G26" s="86">
        <f t="shared" si="2"/>
        <v>2879.2754999999997</v>
      </c>
      <c r="H26" s="87">
        <f t="shared" si="3"/>
        <v>10086.511499999999</v>
      </c>
      <c r="I26" s="88"/>
      <c r="J26" s="84">
        <f>'Yield &amp; income projections'!E54</f>
        <v>6000</v>
      </c>
      <c r="K26" s="85">
        <f>IF(J26&gt;0,MAX('Intermediate Year'!$I$6:$I$7),MAX('Non-Bearing Year'!$I$6:$I$7))</f>
        <v>2551.94</v>
      </c>
      <c r="L26" s="85">
        <f>'Grafting Prep'!$D$6*Parameters!$D$23</f>
        <v>652.79999999999995</v>
      </c>
      <c r="M26" s="85">
        <f>'Yield &amp; income projections'!$E41*Parameters!$D$17</f>
        <v>370</v>
      </c>
      <c r="N26" s="85">
        <f>(K26-MAX('Intermediate Year'!K7:K8)+L26+M26)*Parameters!$D$6</f>
        <v>174.89229999999998</v>
      </c>
      <c r="O26" s="86">
        <f t="shared" si="0"/>
        <v>2250.3677000000002</v>
      </c>
      <c r="P26" s="87">
        <f t="shared" si="4"/>
        <v>-13530.65951508</v>
      </c>
      <c r="Q26" s="89"/>
      <c r="R26" s="84">
        <v>0</v>
      </c>
      <c r="S26" s="85">
        <f>IF(R26&gt;0,MAX('Intermediate Year'!$I$6:$I$7),MAX('Non-Bearing Year'!$I$6:$I$7))</f>
        <v>2437.04</v>
      </c>
      <c r="T26" s="85">
        <f>'Grafting Prep'!$D$6*Parameters!$D$23</f>
        <v>652.79999999999995</v>
      </c>
      <c r="U26" s="85">
        <f>'Yield &amp; income projections'!$F41*Parameters!$D$17</f>
        <v>0</v>
      </c>
      <c r="V26" s="85">
        <f>IF(R26&gt;0,(S26+T26+U26-MAX('Intermediate Year'!$K$6:$K$7))*Parameters!D$6,(S26+T26+U26-MAX('Non-Bearing Year'!$K$6:$K7))*Parameters!D$6)</f>
        <v>148.22280000000001</v>
      </c>
      <c r="W26" s="86">
        <f t="shared" si="1"/>
        <v>-3238.0628000000002</v>
      </c>
      <c r="X26" s="87">
        <f t="shared" si="5"/>
        <v>-29962.296450000002</v>
      </c>
    </row>
    <row r="27" spans="1:24" x14ac:dyDescent="0.3">
      <c r="A27" s="2">
        <v>4</v>
      </c>
      <c r="B27" s="84">
        <f>'Yield &amp; income projections'!D55</f>
        <v>8100</v>
      </c>
      <c r="C27" s="85">
        <f>MAX('Mature Year'!I$6:I$7)</f>
        <v>2791.1</v>
      </c>
      <c r="D27" s="85">
        <f>'Grafting Prep'!D$6*Parameters!D$22</f>
        <v>680</v>
      </c>
      <c r="E27" s="85">
        <f>'Yield &amp; income projections'!$D42*Parameters!$D$17</f>
        <v>1498.5</v>
      </c>
      <c r="F27" s="85">
        <f>(MAX('Mature Year'!F$48:G$48)+D27+E27)*Parameters!D$6</f>
        <v>251.12449999999998</v>
      </c>
      <c r="G27" s="86">
        <f t="shared" si="2"/>
        <v>2879.2754999999997</v>
      </c>
      <c r="H27" s="87">
        <f t="shared" si="3"/>
        <v>12965.786999999998</v>
      </c>
      <c r="I27" s="88"/>
      <c r="J27" s="84">
        <f>'Yield &amp; income projections'!E55</f>
        <v>15000</v>
      </c>
      <c r="K27" s="85">
        <f>IF(J27&gt;0.5*'Yield &amp; income projections'!$E$61,MAX('Mature Year'!$I$6:$I$7),MAX('Intermediate Year'!$I$6:$I$7))</f>
        <v>2551.94</v>
      </c>
      <c r="L27" s="85">
        <f>'Grafting Prep'!$D$6*Parameters!$D$23</f>
        <v>652.79999999999995</v>
      </c>
      <c r="M27" s="85">
        <f>'Yield &amp; income projections'!$E42*Parameters!$D$17</f>
        <v>925</v>
      </c>
      <c r="N27" s="85">
        <f>(K27-MAX('Intermediate Year'!K8:K9)+L27+M27)*Parameters!$D$6</f>
        <v>227.13569999999999</v>
      </c>
      <c r="O27" s="86">
        <f t="shared" si="0"/>
        <v>10643.124299999999</v>
      </c>
      <c r="P27" s="87">
        <f t="shared" si="4"/>
        <v>-2887.5352150800009</v>
      </c>
      <c r="Q27" s="89"/>
      <c r="R27" s="84">
        <f>'Yield &amp; income projections'!F55</f>
        <v>7200</v>
      </c>
      <c r="S27" s="85">
        <f>IF(R27&gt;0,MAX('Intermediate Year'!$I$6:$I$7),MAX('Non-Bearing Year'!$I$6:$I$7))</f>
        <v>2551.94</v>
      </c>
      <c r="T27" s="85">
        <f>'Grafting Prep'!$D$6*Parameters!$D$23</f>
        <v>652.79999999999995</v>
      </c>
      <c r="U27" s="85">
        <f>'Yield &amp; income projections'!$F42*Parameters!$D$17</f>
        <v>444</v>
      </c>
      <c r="V27" s="85">
        <f>IF(R27&gt;0,(S27+T27+U27-MAX('Intermediate Year'!$K$6:$K$7))*Parameters!D$6,(S27+T27+U27-MAX('Non-Bearing Year'!$K$6:$K8))*Parameters!D$6)</f>
        <v>178.96229999999997</v>
      </c>
      <c r="W27" s="86">
        <f t="shared" si="1"/>
        <v>3372.2976999999992</v>
      </c>
      <c r="X27" s="87">
        <f t="shared" si="5"/>
        <v>-26589.998750000002</v>
      </c>
    </row>
    <row r="28" spans="1:24" x14ac:dyDescent="0.3">
      <c r="A28" s="2">
        <v>5</v>
      </c>
      <c r="B28" s="84">
        <f>'Yield &amp; income projections'!D56</f>
        <v>8100</v>
      </c>
      <c r="C28" s="85">
        <f>MAX('Mature Year'!I$6:I$7)</f>
        <v>2791.1</v>
      </c>
      <c r="D28" s="85">
        <f>'Grafting Prep'!D$6*Parameters!D$22</f>
        <v>680</v>
      </c>
      <c r="E28" s="85">
        <f>'Yield &amp; income projections'!$D43*Parameters!$D$17</f>
        <v>1498.5</v>
      </c>
      <c r="F28" s="85">
        <f>(MAX('Mature Year'!F$48:G$48)+D28+E28)*Parameters!D$6</f>
        <v>251.12449999999998</v>
      </c>
      <c r="G28" s="86">
        <f t="shared" si="2"/>
        <v>2879.2754999999997</v>
      </c>
      <c r="H28" s="87">
        <f t="shared" si="3"/>
        <v>15845.062499999998</v>
      </c>
      <c r="I28" s="88"/>
      <c r="J28" s="84">
        <f>'Yield &amp; income projections'!E56</f>
        <v>22500</v>
      </c>
      <c r="K28" s="85">
        <f>IF(J28&gt;0.5*'Yield &amp; income projections'!$E$61,MAX('Mature Year'!$I$6:$I$7),MAX('Intermediate Year'!$I$6:$I$7))</f>
        <v>2791.1</v>
      </c>
      <c r="L28" s="85">
        <f>'Grafting Prep'!$D$6*Parameters!$D$23</f>
        <v>652.79999999999995</v>
      </c>
      <c r="M28" s="85">
        <f>'Yield &amp; income projections'!$E43*Parameters!$D$17</f>
        <v>1387.5</v>
      </c>
      <c r="N28" s="85">
        <f>(K28-MAX('Mature Year'!K9:K10)+L28+M28)*Parameters!$D$6</f>
        <v>265.72699999999998</v>
      </c>
      <c r="O28" s="86">
        <f t="shared" si="0"/>
        <v>17402.873000000003</v>
      </c>
      <c r="P28" s="87">
        <f t="shared" si="4"/>
        <v>14515.337784920002</v>
      </c>
      <c r="Q28" s="89"/>
      <c r="R28" s="84">
        <f>'Yield &amp; income projections'!F56</f>
        <v>14400</v>
      </c>
      <c r="S28" s="85">
        <f>IF(R28&gt;0.5*'Yield &amp; income projections'!$F$61,MAX('Mature Year'!$I$6:$I$7),MAX('Intermediate Year'!$I$6:$I$7))</f>
        <v>2551.94</v>
      </c>
      <c r="T28" s="85">
        <f>'Grafting Prep'!$D$6*Parameters!$D$23</f>
        <v>652.79999999999995</v>
      </c>
      <c r="U28" s="85">
        <f>'Yield &amp; income projections'!$F43*Parameters!$D$17</f>
        <v>888</v>
      </c>
      <c r="V28" s="85">
        <f>IF(R28&gt;0,(S28+T28+U28-MAX('Intermediate Year'!$K$6:$K$7))*Parameters!D$6,(S28+T28+U28-MAX('Non-Bearing Year'!$K$6:$K9))*Parameters!D$6)</f>
        <v>203.38229999999999</v>
      </c>
      <c r="W28" s="86">
        <f t="shared" si="1"/>
        <v>10103.877700000001</v>
      </c>
      <c r="X28" s="87">
        <f t="shared" si="5"/>
        <v>-16486.121050000002</v>
      </c>
    </row>
    <row r="29" spans="1:24" x14ac:dyDescent="0.3">
      <c r="A29" s="2">
        <v>6</v>
      </c>
      <c r="B29" s="84">
        <f>'Yield &amp; income projections'!D57</f>
        <v>7200</v>
      </c>
      <c r="C29" s="85">
        <f>MAX('Mature Year'!I$6:I$7)</f>
        <v>2791.1</v>
      </c>
      <c r="D29" s="85">
        <f>'Grafting Prep'!D$6*Parameters!D$22</f>
        <v>680</v>
      </c>
      <c r="E29" s="85">
        <f>'Yield &amp; income projections'!$D44*Parameters!$D$17</f>
        <v>1332</v>
      </c>
      <c r="F29" s="85">
        <f>(MAX('Mature Year'!F$48:G$48)+D29+E29)*Parameters!D$6</f>
        <v>241.96699999999998</v>
      </c>
      <c r="G29" s="86">
        <f t="shared" si="2"/>
        <v>2154.9329999999995</v>
      </c>
      <c r="H29" s="87">
        <f t="shared" si="3"/>
        <v>17999.995499999997</v>
      </c>
      <c r="I29" s="88"/>
      <c r="J29" s="84">
        <f>'Yield &amp; income projections'!E57</f>
        <v>30000</v>
      </c>
      <c r="K29" s="85">
        <f>IF(J29&gt;0.5*'Yield &amp; income projections'!$E$61,MAX('Mature Year'!$I$6:$I$7),MAX('Intermediate Year'!$I$6:$I$7))</f>
        <v>2791.1</v>
      </c>
      <c r="L29" s="85">
        <f>'Grafting Prep'!$D$6*Parameters!$D$23</f>
        <v>652.79999999999995</v>
      </c>
      <c r="M29" s="85">
        <f>'Yield &amp; income projections'!$E44*Parameters!$D$17</f>
        <v>1850</v>
      </c>
      <c r="N29" s="85">
        <f>(K29-MAX('Mature Year'!K10:K11)+L29+M29)*Parameters!$D$6</f>
        <v>291.16449999999998</v>
      </c>
      <c r="O29" s="86">
        <f t="shared" si="0"/>
        <v>24414.935500000003</v>
      </c>
      <c r="P29" s="87">
        <f t="shared" si="4"/>
        <v>38930.273284920004</v>
      </c>
      <c r="Q29" s="89"/>
      <c r="R29" s="84">
        <f>'Yield &amp; income projections'!F57</f>
        <v>25200</v>
      </c>
      <c r="S29" s="85">
        <f>IF(R29&gt;0.5*'Yield &amp; income projections'!$E$61,MAX('Mature Year'!$I$6:$I$7),MAX('Intermediate Year'!$I$6:$I$7))</f>
        <v>2791.1</v>
      </c>
      <c r="T29" s="85">
        <f>'Grafting Prep'!$D$6*Parameters!$D$23</f>
        <v>652.79999999999995</v>
      </c>
      <c r="U29" s="85">
        <f>'Yield &amp; income projections'!$E44*Parameters!$D$17</f>
        <v>1850</v>
      </c>
      <c r="V29" s="85">
        <f>IF(R29&gt;0.5*'Yield &amp; income projections'!$F$61,(S29+T29+U29-MAX('Mature Year'!$K$6:$K$7))*Parameters!D$6,(S29+T29+U29-MAX('Intermediate Year'!$K$6:$K10))*Parameters!D$6)</f>
        <v>268.96100000000001</v>
      </c>
      <c r="W29" s="86">
        <f t="shared" si="1"/>
        <v>19637.139000000003</v>
      </c>
      <c r="X29" s="87">
        <f t="shared" si="5"/>
        <v>3151.0179500000013</v>
      </c>
    </row>
    <row r="30" spans="1:24" x14ac:dyDescent="0.3">
      <c r="A30" s="2">
        <v>7</v>
      </c>
      <c r="B30" s="84">
        <f>'Yield &amp; income projections'!D58</f>
        <v>7200</v>
      </c>
      <c r="C30" s="85">
        <f>MAX('Mature Year'!I$6:I$7)</f>
        <v>2791.1</v>
      </c>
      <c r="D30" s="85">
        <f>'Grafting Prep'!D$6*Parameters!D$22</f>
        <v>680</v>
      </c>
      <c r="E30" s="85">
        <f>'Yield &amp; income projections'!$D45*Parameters!$D$17</f>
        <v>1332</v>
      </c>
      <c r="F30" s="85">
        <f>(MAX('Mature Year'!F$48:G$48)+D30+E30)*Parameters!D$6</f>
        <v>241.96699999999998</v>
      </c>
      <c r="G30" s="86">
        <f t="shared" si="2"/>
        <v>2154.9329999999995</v>
      </c>
      <c r="H30" s="87">
        <f t="shared" si="3"/>
        <v>20154.928499999998</v>
      </c>
      <c r="I30" s="88"/>
      <c r="J30" s="84">
        <f>'Yield &amp; income projections'!E58</f>
        <v>30000</v>
      </c>
      <c r="K30" s="85">
        <f>IF(J30&gt;0.5*'Yield &amp; income projections'!$E$61,MAX('Mature Year'!$I$6:$I$7),MAX('Intermediate Year'!$I$6:$I$7))</f>
        <v>2791.1</v>
      </c>
      <c r="L30" s="85">
        <f>'Grafting Prep'!$D$6*Parameters!$D$23</f>
        <v>652.79999999999995</v>
      </c>
      <c r="M30" s="85">
        <f>'Yield &amp; income projections'!$E45*Parameters!$D$17</f>
        <v>1850</v>
      </c>
      <c r="N30" s="85">
        <f>(K30-MAX('Mature Year'!K11:K12)+L30+M30)*Parameters!$D$6</f>
        <v>291.16449999999998</v>
      </c>
      <c r="O30" s="86">
        <f t="shared" si="0"/>
        <v>24414.935500000003</v>
      </c>
      <c r="P30" s="87">
        <f t="shared" si="4"/>
        <v>63345.208784920003</v>
      </c>
      <c r="Q30" s="89"/>
      <c r="R30" s="84">
        <f>'Yield &amp; income projections'!F58</f>
        <v>36000</v>
      </c>
      <c r="S30" s="85">
        <f>IF(R30&gt;0.5*'Yield &amp; income projections'!$E$61,MAX('Mature Year'!$I$6:$I$7),MAX('Intermediate Year'!$I$6:$I$7))</f>
        <v>2791.1</v>
      </c>
      <c r="T30" s="85">
        <f>'Grafting Prep'!$D$6*Parameters!$D$23</f>
        <v>652.79999999999995</v>
      </c>
      <c r="U30" s="85">
        <f>'Yield &amp; income projections'!$E45*Parameters!$D$17</f>
        <v>1850</v>
      </c>
      <c r="V30" s="85">
        <f>IF(R30&gt;0.5*'Yield &amp; income projections'!$F$61,(S30+T30+U30-MAX('Mature Year'!$K$6:$K$7))*Parameters!D$6,(S30+T30+U30-MAX('Intermediate Year'!$K$6:$K10))*Parameters!D$6)</f>
        <v>268.96100000000001</v>
      </c>
      <c r="W30" s="86">
        <f t="shared" si="1"/>
        <v>30437.139000000003</v>
      </c>
      <c r="X30" s="87">
        <f t="shared" si="5"/>
        <v>33588.156950000004</v>
      </c>
    </row>
    <row r="31" spans="1:24" x14ac:dyDescent="0.3">
      <c r="A31" s="2">
        <v>8</v>
      </c>
      <c r="B31" s="84">
        <f>'Yield &amp; income projections'!D59</f>
        <v>7200</v>
      </c>
      <c r="C31" s="85">
        <f>MAX('Mature Year'!I$6:I$7)</f>
        <v>2791.1</v>
      </c>
      <c r="D31" s="85">
        <f>'Grafting Prep'!D$6*Parameters!D$22</f>
        <v>680</v>
      </c>
      <c r="E31" s="85">
        <f>'Yield &amp; income projections'!$D46*Parameters!$D$17</f>
        <v>1332</v>
      </c>
      <c r="F31" s="85">
        <f>(MAX('Mature Year'!F$48:G$48)+D31+E31)*Parameters!D$6</f>
        <v>241.96699999999998</v>
      </c>
      <c r="G31" s="86">
        <f t="shared" si="2"/>
        <v>2154.9329999999995</v>
      </c>
      <c r="H31" s="87">
        <f t="shared" si="3"/>
        <v>22309.861499999999</v>
      </c>
      <c r="I31" s="88"/>
      <c r="J31" s="84">
        <f>'Yield &amp; income projections'!E59</f>
        <v>30000</v>
      </c>
      <c r="K31" s="85">
        <f>IF(J31&gt;0.5*'Yield &amp; income projections'!$E$61,MAX('Mature Year'!$I$6:$I$7),MAX('Intermediate Year'!$I$6:$I$7))</f>
        <v>2791.1</v>
      </c>
      <c r="L31" s="85">
        <f>'Grafting Prep'!$D$6*Parameters!$D$23</f>
        <v>652.79999999999995</v>
      </c>
      <c r="M31" s="85">
        <f>'Yield &amp; income projections'!$E46*Parameters!$D$17</f>
        <v>1850</v>
      </c>
      <c r="N31" s="85">
        <f>(K31-MAX('Mature Year'!K12:K13)+L31+M31)*Parameters!$D$6</f>
        <v>291.16449999999998</v>
      </c>
      <c r="O31" s="86">
        <f t="shared" si="0"/>
        <v>24414.935500000003</v>
      </c>
      <c r="P31" s="87">
        <f t="shared" si="4"/>
        <v>87760.14428492001</v>
      </c>
      <c r="Q31" s="89"/>
      <c r="R31" s="84">
        <f>'Yield &amp; income projections'!F59</f>
        <v>36000</v>
      </c>
      <c r="S31" s="85">
        <f>IF(R31&gt;0.5*'Yield &amp; income projections'!$E$61,MAX('Mature Year'!$I$6:$I$7),MAX('Intermediate Year'!$I$6:$I$7))</f>
        <v>2791.1</v>
      </c>
      <c r="T31" s="85">
        <f>'Grafting Prep'!$D$6*Parameters!$D$23</f>
        <v>652.79999999999995</v>
      </c>
      <c r="U31" s="85">
        <f>'Yield &amp; income projections'!$E46*Parameters!$D$17</f>
        <v>1850</v>
      </c>
      <c r="V31" s="85">
        <f>IF(R31&gt;0.5*'Yield &amp; income projections'!$F$61,(S31+T31+U31-MAX('Mature Year'!$K$6:$K$7))*Parameters!D$6,(S31+T31+U31-MAX('Intermediate Year'!$K$6:$K10))*Parameters!D$6)</f>
        <v>268.96100000000001</v>
      </c>
      <c r="W31" s="86">
        <f t="shared" si="1"/>
        <v>30437.139000000003</v>
      </c>
      <c r="X31" s="87">
        <f t="shared" si="5"/>
        <v>64025.295950000007</v>
      </c>
    </row>
    <row r="32" spans="1:24" x14ac:dyDescent="0.3">
      <c r="A32" s="2">
        <v>9</v>
      </c>
      <c r="B32" s="84">
        <f>'Yield &amp; income projections'!D60</f>
        <v>6300</v>
      </c>
      <c r="C32" s="85">
        <f>MAX('Mature Year'!I$6:I$7)</f>
        <v>2791.1</v>
      </c>
      <c r="D32" s="85">
        <f>'Grafting Prep'!D$6*Parameters!D$22</f>
        <v>680</v>
      </c>
      <c r="E32" s="85">
        <f>'Yield &amp; income projections'!$D47*Parameters!$D$17</f>
        <v>1165.5</v>
      </c>
      <c r="F32" s="85">
        <f>(MAX('Mature Year'!F$48:G$48)+D32+E32)*Parameters!D$6</f>
        <v>232.80949999999999</v>
      </c>
      <c r="G32" s="86">
        <f t="shared" si="2"/>
        <v>1430.5905</v>
      </c>
      <c r="H32" s="87">
        <f t="shared" si="3"/>
        <v>23740.451999999997</v>
      </c>
      <c r="I32" s="88"/>
      <c r="J32" s="84">
        <f>'Yield &amp; income projections'!E60</f>
        <v>30000</v>
      </c>
      <c r="K32" s="85">
        <f>IF(J32&gt;0.5*'Yield &amp; income projections'!$E$61,MAX('Mature Year'!$I$6:$I$7),MAX('Intermediate Year'!$I$6:$I$7))</f>
        <v>2791.1</v>
      </c>
      <c r="L32" s="85">
        <f>'Grafting Prep'!$D$6*Parameters!$D$23</f>
        <v>652.79999999999995</v>
      </c>
      <c r="M32" s="85">
        <f>'Yield &amp; income projections'!$E47*Parameters!$D$17</f>
        <v>1850</v>
      </c>
      <c r="N32" s="85">
        <f>(K32-MAX('Mature Year'!K13:K14)+L32+M32)*Parameters!$D$6</f>
        <v>291.16449999999998</v>
      </c>
      <c r="O32" s="86">
        <f t="shared" si="0"/>
        <v>24414.935500000003</v>
      </c>
      <c r="P32" s="87">
        <f t="shared" si="4"/>
        <v>112175.07978492002</v>
      </c>
      <c r="Q32" s="89"/>
      <c r="R32" s="84">
        <f>'Yield &amp; income projections'!F60</f>
        <v>36000</v>
      </c>
      <c r="S32" s="85">
        <f>IF(R32&gt;0.5*'Yield &amp; income projections'!$E$61,MAX('Mature Year'!$I$6:$I$7),MAX('Intermediate Year'!$I$6:$I$7))</f>
        <v>2791.1</v>
      </c>
      <c r="T32" s="85">
        <f>'Grafting Prep'!$D$6*Parameters!$D$23</f>
        <v>652.79999999999995</v>
      </c>
      <c r="U32" s="85">
        <f>'Yield &amp; income projections'!$E47*Parameters!$D$17</f>
        <v>1850</v>
      </c>
      <c r="V32" s="85">
        <f>IF(R32&gt;0.5*'Yield &amp; income projections'!$F$61,(S32+T32+U32-MAX('Mature Year'!$K$6:$K$7))*Parameters!D$6,(S32+T32+U32-MAX('Intermediate Year'!$K$6:$K11))*Parameters!D$6)</f>
        <v>268.96100000000001</v>
      </c>
      <c r="W32" s="86">
        <f t="shared" si="1"/>
        <v>30437.139000000003</v>
      </c>
      <c r="X32" s="87">
        <f t="shared" si="5"/>
        <v>94462.43495000001</v>
      </c>
    </row>
    <row r="33" spans="1:24" x14ac:dyDescent="0.3">
      <c r="A33" s="2">
        <v>10</v>
      </c>
      <c r="B33" s="84">
        <f>'Yield &amp; income projections'!D61</f>
        <v>6300</v>
      </c>
      <c r="C33" s="85">
        <f>MAX('Mature Year'!I$6:I$7)</f>
        <v>2791.1</v>
      </c>
      <c r="D33" s="85">
        <f>'Grafting Prep'!D$6*Parameters!D$22</f>
        <v>680</v>
      </c>
      <c r="E33" s="85">
        <f>'Yield &amp; income projections'!$D48*Parameters!$D$17</f>
        <v>1165.5</v>
      </c>
      <c r="F33" s="85">
        <f>(MAX('Mature Year'!F$48:G$48)+D33+E33)*Parameters!D$6</f>
        <v>232.80949999999999</v>
      </c>
      <c r="G33" s="86">
        <f t="shared" si="2"/>
        <v>1430.5905</v>
      </c>
      <c r="H33" s="87">
        <f t="shared" si="3"/>
        <v>25171.042499999996</v>
      </c>
      <c r="I33" s="88"/>
      <c r="J33" s="84">
        <f>'Yield &amp; income projections'!E61</f>
        <v>30000</v>
      </c>
      <c r="K33" s="85">
        <f>IF(J33&gt;0.5*'Yield &amp; income projections'!$E$61,MAX('Mature Year'!$I$6:$I$7),MAX('Intermediate Year'!$I$6:$I$7))</f>
        <v>2791.1</v>
      </c>
      <c r="L33" s="85">
        <f>'Grafting Prep'!$D$6*Parameters!$D$23</f>
        <v>652.79999999999995</v>
      </c>
      <c r="M33" s="85">
        <f>'Yield &amp; income projections'!$E48*Parameters!$D$17</f>
        <v>1850</v>
      </c>
      <c r="N33" s="85">
        <f>(K33-MAX('Mature Year'!K14:K15)+L33+M33)*Parameters!$D$6</f>
        <v>291.16449999999998</v>
      </c>
      <c r="O33" s="86">
        <f t="shared" si="0"/>
        <v>24414.935500000003</v>
      </c>
      <c r="P33" s="87">
        <f t="shared" si="4"/>
        <v>136590.01528492002</v>
      </c>
      <c r="Q33" s="89"/>
      <c r="R33" s="84">
        <f>'Yield &amp; income projections'!F61</f>
        <v>36000</v>
      </c>
      <c r="S33" s="85">
        <f>IF(R33&gt;0.5*'Yield &amp; income projections'!$E$61,MAX('Mature Year'!$I$6:$I$7),MAX('Intermediate Year'!$I$6:$I$7))</f>
        <v>2791.1</v>
      </c>
      <c r="T33" s="85">
        <f>'Grafting Prep'!$D$6*Parameters!$D$23</f>
        <v>652.79999999999995</v>
      </c>
      <c r="U33" s="85">
        <f>'Yield &amp; income projections'!$E48*Parameters!$D$17</f>
        <v>1850</v>
      </c>
      <c r="V33" s="85">
        <f>IF(R33&gt;0.5*'Yield &amp; income projections'!$F$61,(S33+T33+U33-MAX('Mature Year'!$K$6:$K$7))*Parameters!D$6,(S33+T33+U33-MAX('Intermediate Year'!$K$6:$K12))*Parameters!D$6)</f>
        <v>268.96100000000001</v>
      </c>
      <c r="W33" s="86">
        <f t="shared" si="1"/>
        <v>30437.139000000003</v>
      </c>
      <c r="X33" s="87">
        <f t="shared" si="5"/>
        <v>124899.57395000002</v>
      </c>
    </row>
    <row r="34" spans="1:24" x14ac:dyDescent="0.3">
      <c r="A34" s="2">
        <v>11</v>
      </c>
      <c r="B34" s="84">
        <f t="shared" ref="B34:C43" si="6">B$33</f>
        <v>6300</v>
      </c>
      <c r="C34" s="85">
        <f>C$33</f>
        <v>2791.1</v>
      </c>
      <c r="D34" s="85">
        <f>D$33</f>
        <v>680</v>
      </c>
      <c r="E34" s="85">
        <f>E$33</f>
        <v>1165.5</v>
      </c>
      <c r="F34" s="85">
        <f>F$33</f>
        <v>232.80949999999999</v>
      </c>
      <c r="G34" s="86">
        <f t="shared" si="2"/>
        <v>1430.5905</v>
      </c>
      <c r="H34" s="87">
        <f t="shared" si="3"/>
        <v>26601.632999999994</v>
      </c>
      <c r="I34" s="88"/>
      <c r="J34" s="84">
        <f t="shared" ref="J34:N43" si="7">J$33</f>
        <v>30000</v>
      </c>
      <c r="K34" s="85">
        <f t="shared" si="7"/>
        <v>2791.1</v>
      </c>
      <c r="L34" s="85">
        <f t="shared" si="7"/>
        <v>652.79999999999995</v>
      </c>
      <c r="M34" s="85">
        <f t="shared" si="7"/>
        <v>1850</v>
      </c>
      <c r="N34" s="85">
        <f t="shared" si="7"/>
        <v>291.16449999999998</v>
      </c>
      <c r="O34" s="86">
        <f t="shared" si="0"/>
        <v>24414.935500000003</v>
      </c>
      <c r="P34" s="87">
        <f t="shared" si="4"/>
        <v>161004.95078492002</v>
      </c>
      <c r="Q34" s="89"/>
      <c r="R34" s="84">
        <f>'Yield &amp; income projections'!F$61</f>
        <v>36000</v>
      </c>
      <c r="S34" s="85">
        <f t="shared" ref="S34:V43" si="8">S$33</f>
        <v>2791.1</v>
      </c>
      <c r="T34" s="85">
        <f t="shared" si="8"/>
        <v>652.79999999999995</v>
      </c>
      <c r="U34" s="85">
        <f t="shared" si="8"/>
        <v>1850</v>
      </c>
      <c r="V34" s="85">
        <f t="shared" si="8"/>
        <v>268.96100000000001</v>
      </c>
      <c r="W34" s="86">
        <f t="shared" si="1"/>
        <v>30437.139000000003</v>
      </c>
      <c r="X34" s="87">
        <f t="shared" si="5"/>
        <v>155336.71295000002</v>
      </c>
    </row>
    <row r="35" spans="1:24" x14ac:dyDescent="0.3">
      <c r="A35" s="2">
        <v>12</v>
      </c>
      <c r="B35" s="84">
        <f t="shared" si="6"/>
        <v>6300</v>
      </c>
      <c r="C35" s="85">
        <f t="shared" si="6"/>
        <v>2791.1</v>
      </c>
      <c r="D35" s="85">
        <f t="shared" ref="D35:F43" si="9">D$33</f>
        <v>680</v>
      </c>
      <c r="E35" s="85">
        <f t="shared" si="9"/>
        <v>1165.5</v>
      </c>
      <c r="F35" s="85">
        <f t="shared" si="9"/>
        <v>232.80949999999999</v>
      </c>
      <c r="G35" s="86">
        <f t="shared" si="2"/>
        <v>1430.5905</v>
      </c>
      <c r="H35" s="87">
        <f t="shared" si="3"/>
        <v>28032.223499999993</v>
      </c>
      <c r="I35" s="88"/>
      <c r="J35" s="84">
        <f t="shared" si="7"/>
        <v>30000</v>
      </c>
      <c r="K35" s="85">
        <f t="shared" si="7"/>
        <v>2791.1</v>
      </c>
      <c r="L35" s="85">
        <f t="shared" si="7"/>
        <v>652.79999999999995</v>
      </c>
      <c r="M35" s="85">
        <f t="shared" si="7"/>
        <v>1850</v>
      </c>
      <c r="N35" s="85">
        <f t="shared" si="7"/>
        <v>291.16449999999998</v>
      </c>
      <c r="O35" s="86">
        <f t="shared" si="0"/>
        <v>24414.935500000003</v>
      </c>
      <c r="P35" s="87">
        <f t="shared" si="4"/>
        <v>185419.88628492001</v>
      </c>
      <c r="Q35" s="89"/>
      <c r="R35" s="84">
        <f>'Yield &amp; income projections'!F$61</f>
        <v>36000</v>
      </c>
      <c r="S35" s="85">
        <f t="shared" si="8"/>
        <v>2791.1</v>
      </c>
      <c r="T35" s="85">
        <f t="shared" si="8"/>
        <v>652.79999999999995</v>
      </c>
      <c r="U35" s="85">
        <f t="shared" si="8"/>
        <v>1850</v>
      </c>
      <c r="V35" s="85">
        <f t="shared" si="8"/>
        <v>268.96100000000001</v>
      </c>
      <c r="W35" s="86">
        <f t="shared" si="1"/>
        <v>30437.139000000003</v>
      </c>
      <c r="X35" s="87">
        <f t="shared" si="5"/>
        <v>185773.85195000001</v>
      </c>
    </row>
    <row r="36" spans="1:24" x14ac:dyDescent="0.3">
      <c r="A36" s="2">
        <v>13</v>
      </c>
      <c r="B36" s="84">
        <f t="shared" si="6"/>
        <v>6300</v>
      </c>
      <c r="C36" s="85">
        <f t="shared" si="6"/>
        <v>2791.1</v>
      </c>
      <c r="D36" s="85">
        <f t="shared" si="9"/>
        <v>680</v>
      </c>
      <c r="E36" s="85">
        <f t="shared" si="9"/>
        <v>1165.5</v>
      </c>
      <c r="F36" s="85">
        <f t="shared" si="9"/>
        <v>232.80949999999999</v>
      </c>
      <c r="G36" s="86">
        <f t="shared" si="2"/>
        <v>1430.5905</v>
      </c>
      <c r="H36" s="87">
        <f t="shared" si="3"/>
        <v>29462.813999999991</v>
      </c>
      <c r="I36" s="88"/>
      <c r="J36" s="84">
        <f t="shared" si="7"/>
        <v>30000</v>
      </c>
      <c r="K36" s="85">
        <f t="shared" si="7"/>
        <v>2791.1</v>
      </c>
      <c r="L36" s="85">
        <f t="shared" si="7"/>
        <v>652.79999999999995</v>
      </c>
      <c r="M36" s="85">
        <f t="shared" si="7"/>
        <v>1850</v>
      </c>
      <c r="N36" s="85">
        <f t="shared" si="7"/>
        <v>291.16449999999998</v>
      </c>
      <c r="O36" s="86">
        <f t="shared" si="0"/>
        <v>24414.935500000003</v>
      </c>
      <c r="P36" s="87">
        <f t="shared" si="4"/>
        <v>209834.82178492</v>
      </c>
      <c r="Q36" s="89"/>
      <c r="R36" s="84">
        <f>'Yield &amp; income projections'!F$61</f>
        <v>36000</v>
      </c>
      <c r="S36" s="85">
        <f t="shared" si="8"/>
        <v>2791.1</v>
      </c>
      <c r="T36" s="85">
        <f t="shared" si="8"/>
        <v>652.79999999999995</v>
      </c>
      <c r="U36" s="85">
        <f t="shared" si="8"/>
        <v>1850</v>
      </c>
      <c r="V36" s="85">
        <f t="shared" si="8"/>
        <v>268.96100000000001</v>
      </c>
      <c r="W36" s="86">
        <f t="shared" si="1"/>
        <v>30437.139000000003</v>
      </c>
      <c r="X36" s="87">
        <f t="shared" si="5"/>
        <v>216210.99095000001</v>
      </c>
    </row>
    <row r="37" spans="1:24" x14ac:dyDescent="0.3">
      <c r="A37" s="2">
        <v>14</v>
      </c>
      <c r="B37" s="84">
        <f t="shared" si="6"/>
        <v>6300</v>
      </c>
      <c r="C37" s="85">
        <f t="shared" si="6"/>
        <v>2791.1</v>
      </c>
      <c r="D37" s="85">
        <f t="shared" si="9"/>
        <v>680</v>
      </c>
      <c r="E37" s="85">
        <f t="shared" si="9"/>
        <v>1165.5</v>
      </c>
      <c r="F37" s="85">
        <f t="shared" si="9"/>
        <v>232.80949999999999</v>
      </c>
      <c r="G37" s="86">
        <f t="shared" si="2"/>
        <v>1430.5905</v>
      </c>
      <c r="H37" s="87">
        <f t="shared" si="3"/>
        <v>30893.40449999999</v>
      </c>
      <c r="I37" s="88"/>
      <c r="J37" s="84">
        <f t="shared" si="7"/>
        <v>30000</v>
      </c>
      <c r="K37" s="85">
        <f t="shared" si="7"/>
        <v>2791.1</v>
      </c>
      <c r="L37" s="85">
        <f t="shared" si="7"/>
        <v>652.79999999999995</v>
      </c>
      <c r="M37" s="85">
        <f t="shared" si="7"/>
        <v>1850</v>
      </c>
      <c r="N37" s="85">
        <f t="shared" si="7"/>
        <v>291.16449999999998</v>
      </c>
      <c r="O37" s="86">
        <f t="shared" si="0"/>
        <v>24414.935500000003</v>
      </c>
      <c r="P37" s="87">
        <f t="shared" si="4"/>
        <v>234249.75728491999</v>
      </c>
      <c r="Q37" s="89"/>
      <c r="R37" s="84">
        <f>'Yield &amp; income projections'!F$61</f>
        <v>36000</v>
      </c>
      <c r="S37" s="85">
        <f t="shared" si="8"/>
        <v>2791.1</v>
      </c>
      <c r="T37" s="85">
        <f t="shared" si="8"/>
        <v>652.79999999999995</v>
      </c>
      <c r="U37" s="85">
        <f t="shared" si="8"/>
        <v>1850</v>
      </c>
      <c r="V37" s="85">
        <f t="shared" si="8"/>
        <v>268.96100000000001</v>
      </c>
      <c r="W37" s="86">
        <f t="shared" si="1"/>
        <v>30437.139000000003</v>
      </c>
      <c r="X37" s="87">
        <f t="shared" si="5"/>
        <v>246648.12995</v>
      </c>
    </row>
    <row r="38" spans="1:24" x14ac:dyDescent="0.3">
      <c r="A38" s="2">
        <v>15</v>
      </c>
      <c r="B38" s="84">
        <f t="shared" si="6"/>
        <v>6300</v>
      </c>
      <c r="C38" s="85">
        <f t="shared" si="6"/>
        <v>2791.1</v>
      </c>
      <c r="D38" s="85">
        <f t="shared" si="9"/>
        <v>680</v>
      </c>
      <c r="E38" s="85">
        <f t="shared" si="9"/>
        <v>1165.5</v>
      </c>
      <c r="F38" s="85">
        <f t="shared" si="9"/>
        <v>232.80949999999999</v>
      </c>
      <c r="G38" s="86">
        <f t="shared" si="2"/>
        <v>1430.5905</v>
      </c>
      <c r="H38" s="87">
        <f t="shared" si="3"/>
        <v>32323.994999999988</v>
      </c>
      <c r="I38" s="88"/>
      <c r="J38" s="84">
        <f t="shared" si="7"/>
        <v>30000</v>
      </c>
      <c r="K38" s="85">
        <f t="shared" si="7"/>
        <v>2791.1</v>
      </c>
      <c r="L38" s="85">
        <f t="shared" si="7"/>
        <v>652.79999999999995</v>
      </c>
      <c r="M38" s="85">
        <f t="shared" si="7"/>
        <v>1850</v>
      </c>
      <c r="N38" s="85">
        <f t="shared" si="7"/>
        <v>291.16449999999998</v>
      </c>
      <c r="O38" s="86">
        <f t="shared" si="0"/>
        <v>24414.935500000003</v>
      </c>
      <c r="P38" s="87">
        <f t="shared" si="4"/>
        <v>258664.69278491999</v>
      </c>
      <c r="Q38" s="89"/>
      <c r="R38" s="84">
        <f>'Yield &amp; income projections'!F$61</f>
        <v>36000</v>
      </c>
      <c r="S38" s="85">
        <f t="shared" si="8"/>
        <v>2791.1</v>
      </c>
      <c r="T38" s="85">
        <f t="shared" si="8"/>
        <v>652.79999999999995</v>
      </c>
      <c r="U38" s="85">
        <f t="shared" si="8"/>
        <v>1850</v>
      </c>
      <c r="V38" s="85">
        <f t="shared" si="8"/>
        <v>268.96100000000001</v>
      </c>
      <c r="W38" s="86">
        <f t="shared" si="1"/>
        <v>30437.139000000003</v>
      </c>
      <c r="X38" s="87">
        <f t="shared" si="5"/>
        <v>277085.26895</v>
      </c>
    </row>
    <row r="39" spans="1:24" x14ac:dyDescent="0.3">
      <c r="A39" s="2">
        <v>16</v>
      </c>
      <c r="B39" s="84">
        <f t="shared" si="6"/>
        <v>6300</v>
      </c>
      <c r="C39" s="85">
        <f t="shared" si="6"/>
        <v>2791.1</v>
      </c>
      <c r="D39" s="85">
        <f t="shared" si="9"/>
        <v>680</v>
      </c>
      <c r="E39" s="85">
        <f t="shared" si="9"/>
        <v>1165.5</v>
      </c>
      <c r="F39" s="85">
        <f t="shared" si="9"/>
        <v>232.80949999999999</v>
      </c>
      <c r="G39" s="86">
        <f t="shared" si="2"/>
        <v>1430.5905</v>
      </c>
      <c r="H39" s="87">
        <f t="shared" si="3"/>
        <v>33754.585499999986</v>
      </c>
      <c r="I39" s="88"/>
      <c r="J39" s="84">
        <f t="shared" si="7"/>
        <v>30000</v>
      </c>
      <c r="K39" s="85">
        <f t="shared" si="7"/>
        <v>2791.1</v>
      </c>
      <c r="L39" s="85">
        <f t="shared" si="7"/>
        <v>652.79999999999995</v>
      </c>
      <c r="M39" s="85">
        <f t="shared" si="7"/>
        <v>1850</v>
      </c>
      <c r="N39" s="85">
        <f t="shared" si="7"/>
        <v>291.16449999999998</v>
      </c>
      <c r="O39" s="86">
        <f t="shared" si="0"/>
        <v>24414.935500000003</v>
      </c>
      <c r="P39" s="87">
        <f t="shared" si="4"/>
        <v>283079.62828492001</v>
      </c>
      <c r="Q39" s="89"/>
      <c r="R39" s="84">
        <f>'Yield &amp; income projections'!F$61</f>
        <v>36000</v>
      </c>
      <c r="S39" s="85">
        <f t="shared" si="8"/>
        <v>2791.1</v>
      </c>
      <c r="T39" s="85">
        <f t="shared" si="8"/>
        <v>652.79999999999995</v>
      </c>
      <c r="U39" s="85">
        <f t="shared" si="8"/>
        <v>1850</v>
      </c>
      <c r="V39" s="85">
        <f t="shared" si="8"/>
        <v>268.96100000000001</v>
      </c>
      <c r="W39" s="86">
        <f t="shared" si="1"/>
        <v>30437.139000000003</v>
      </c>
      <c r="X39" s="87">
        <f t="shared" si="5"/>
        <v>307522.40795000002</v>
      </c>
    </row>
    <row r="40" spans="1:24" x14ac:dyDescent="0.3">
      <c r="A40" s="2">
        <v>17</v>
      </c>
      <c r="B40" s="84">
        <f t="shared" si="6"/>
        <v>6300</v>
      </c>
      <c r="C40" s="85">
        <f t="shared" si="6"/>
        <v>2791.1</v>
      </c>
      <c r="D40" s="85">
        <f t="shared" si="9"/>
        <v>680</v>
      </c>
      <c r="E40" s="85">
        <f t="shared" si="9"/>
        <v>1165.5</v>
      </c>
      <c r="F40" s="85">
        <f t="shared" si="9"/>
        <v>232.80949999999999</v>
      </c>
      <c r="G40" s="86">
        <f t="shared" si="2"/>
        <v>1430.5905</v>
      </c>
      <c r="H40" s="87">
        <f t="shared" si="3"/>
        <v>35185.175999999985</v>
      </c>
      <c r="I40" s="88"/>
      <c r="J40" s="84">
        <f t="shared" si="7"/>
        <v>30000</v>
      </c>
      <c r="K40" s="85">
        <f t="shared" si="7"/>
        <v>2791.1</v>
      </c>
      <c r="L40" s="85">
        <f t="shared" si="7"/>
        <v>652.79999999999995</v>
      </c>
      <c r="M40" s="85">
        <f t="shared" si="7"/>
        <v>1850</v>
      </c>
      <c r="N40" s="85">
        <f t="shared" si="7"/>
        <v>291.16449999999998</v>
      </c>
      <c r="O40" s="86">
        <f t="shared" si="0"/>
        <v>24414.935500000003</v>
      </c>
      <c r="P40" s="87">
        <f t="shared" si="4"/>
        <v>307494.56378492003</v>
      </c>
      <c r="Q40" s="89"/>
      <c r="R40" s="84">
        <f>'Yield &amp; income projections'!F$61</f>
        <v>36000</v>
      </c>
      <c r="S40" s="85">
        <f t="shared" si="8"/>
        <v>2791.1</v>
      </c>
      <c r="T40" s="85">
        <f t="shared" si="8"/>
        <v>652.79999999999995</v>
      </c>
      <c r="U40" s="85">
        <f t="shared" si="8"/>
        <v>1850</v>
      </c>
      <c r="V40" s="85">
        <f t="shared" si="8"/>
        <v>268.96100000000001</v>
      </c>
      <c r="W40" s="86">
        <f t="shared" si="1"/>
        <v>30437.139000000003</v>
      </c>
      <c r="X40" s="87">
        <f t="shared" si="5"/>
        <v>337959.54695000005</v>
      </c>
    </row>
    <row r="41" spans="1:24" x14ac:dyDescent="0.3">
      <c r="A41" s="2">
        <v>18</v>
      </c>
      <c r="B41" s="84">
        <f t="shared" si="6"/>
        <v>6300</v>
      </c>
      <c r="C41" s="85">
        <f t="shared" si="6"/>
        <v>2791.1</v>
      </c>
      <c r="D41" s="85">
        <f t="shared" si="9"/>
        <v>680</v>
      </c>
      <c r="E41" s="85">
        <f t="shared" si="9"/>
        <v>1165.5</v>
      </c>
      <c r="F41" s="85">
        <f t="shared" si="9"/>
        <v>232.80949999999999</v>
      </c>
      <c r="G41" s="86">
        <f t="shared" si="2"/>
        <v>1430.5905</v>
      </c>
      <c r="H41" s="87">
        <f t="shared" si="3"/>
        <v>36615.766499999983</v>
      </c>
      <c r="I41" s="88"/>
      <c r="J41" s="84">
        <f t="shared" si="7"/>
        <v>30000</v>
      </c>
      <c r="K41" s="85">
        <f t="shared" si="7"/>
        <v>2791.1</v>
      </c>
      <c r="L41" s="85">
        <f t="shared" si="7"/>
        <v>652.79999999999995</v>
      </c>
      <c r="M41" s="85">
        <f t="shared" si="7"/>
        <v>1850</v>
      </c>
      <c r="N41" s="85">
        <f t="shared" si="7"/>
        <v>291.16449999999998</v>
      </c>
      <c r="O41" s="86">
        <f t="shared" si="0"/>
        <v>24414.935500000003</v>
      </c>
      <c r="P41" s="87">
        <f t="shared" si="4"/>
        <v>331909.49928492005</v>
      </c>
      <c r="Q41" s="89"/>
      <c r="R41" s="84">
        <f>'Yield &amp; income projections'!F$61</f>
        <v>36000</v>
      </c>
      <c r="S41" s="85">
        <f t="shared" si="8"/>
        <v>2791.1</v>
      </c>
      <c r="T41" s="85">
        <f t="shared" si="8"/>
        <v>652.79999999999995</v>
      </c>
      <c r="U41" s="85">
        <f t="shared" si="8"/>
        <v>1850</v>
      </c>
      <c r="V41" s="85">
        <f t="shared" si="8"/>
        <v>268.96100000000001</v>
      </c>
      <c r="W41" s="86">
        <f t="shared" si="1"/>
        <v>30437.139000000003</v>
      </c>
      <c r="X41" s="87">
        <f t="shared" si="5"/>
        <v>368396.68595000007</v>
      </c>
    </row>
    <row r="42" spans="1:24" x14ac:dyDescent="0.3">
      <c r="A42" s="2">
        <v>19</v>
      </c>
      <c r="B42" s="84">
        <f t="shared" si="6"/>
        <v>6300</v>
      </c>
      <c r="C42" s="85">
        <f t="shared" si="6"/>
        <v>2791.1</v>
      </c>
      <c r="D42" s="85">
        <f t="shared" si="9"/>
        <v>680</v>
      </c>
      <c r="E42" s="85">
        <f t="shared" si="9"/>
        <v>1165.5</v>
      </c>
      <c r="F42" s="85">
        <f t="shared" si="9"/>
        <v>232.80949999999999</v>
      </c>
      <c r="G42" s="86">
        <f t="shared" si="2"/>
        <v>1430.5905</v>
      </c>
      <c r="H42" s="87">
        <f t="shared" si="3"/>
        <v>38046.356999999982</v>
      </c>
      <c r="I42" s="88"/>
      <c r="J42" s="84">
        <f t="shared" si="7"/>
        <v>30000</v>
      </c>
      <c r="K42" s="85">
        <f t="shared" si="7"/>
        <v>2791.1</v>
      </c>
      <c r="L42" s="85">
        <f t="shared" si="7"/>
        <v>652.79999999999995</v>
      </c>
      <c r="M42" s="85">
        <f t="shared" si="7"/>
        <v>1850</v>
      </c>
      <c r="N42" s="85">
        <f t="shared" si="7"/>
        <v>291.16449999999998</v>
      </c>
      <c r="O42" s="86">
        <f t="shared" si="0"/>
        <v>24414.935500000003</v>
      </c>
      <c r="P42" s="87">
        <f t="shared" si="4"/>
        <v>356324.43478492007</v>
      </c>
      <c r="Q42" s="89"/>
      <c r="R42" s="84">
        <f>'Yield &amp; income projections'!F$61</f>
        <v>36000</v>
      </c>
      <c r="S42" s="85">
        <f t="shared" si="8"/>
        <v>2791.1</v>
      </c>
      <c r="T42" s="85">
        <f t="shared" si="8"/>
        <v>652.79999999999995</v>
      </c>
      <c r="U42" s="85">
        <f t="shared" si="8"/>
        <v>1850</v>
      </c>
      <c r="V42" s="85">
        <f t="shared" si="8"/>
        <v>268.96100000000001</v>
      </c>
      <c r="W42" s="86">
        <f t="shared" si="1"/>
        <v>30437.139000000003</v>
      </c>
      <c r="X42" s="87">
        <f t="shared" si="5"/>
        <v>398833.8249500001</v>
      </c>
    </row>
    <row r="43" spans="1:24" x14ac:dyDescent="0.3">
      <c r="A43" s="2">
        <v>20</v>
      </c>
      <c r="B43" s="84">
        <f t="shared" si="6"/>
        <v>6300</v>
      </c>
      <c r="C43" s="85">
        <f t="shared" si="6"/>
        <v>2791.1</v>
      </c>
      <c r="D43" s="85">
        <f t="shared" si="9"/>
        <v>680</v>
      </c>
      <c r="E43" s="85">
        <f t="shared" si="9"/>
        <v>1165.5</v>
      </c>
      <c r="F43" s="85">
        <f t="shared" si="9"/>
        <v>232.80949999999999</v>
      </c>
      <c r="G43" s="86">
        <f t="shared" si="2"/>
        <v>1430.5905</v>
      </c>
      <c r="H43" s="87">
        <f t="shared" si="3"/>
        <v>39476.94749999998</v>
      </c>
      <c r="I43" s="88"/>
      <c r="J43" s="84">
        <f t="shared" si="7"/>
        <v>30000</v>
      </c>
      <c r="K43" s="85">
        <f t="shared" si="7"/>
        <v>2791.1</v>
      </c>
      <c r="L43" s="85">
        <f t="shared" si="7"/>
        <v>652.79999999999995</v>
      </c>
      <c r="M43" s="85">
        <f t="shared" si="7"/>
        <v>1850</v>
      </c>
      <c r="N43" s="85">
        <f t="shared" si="7"/>
        <v>291.16449999999998</v>
      </c>
      <c r="O43" s="86">
        <f t="shared" si="0"/>
        <v>24414.935500000003</v>
      </c>
      <c r="P43" s="87">
        <f t="shared" si="4"/>
        <v>380739.37028492009</v>
      </c>
      <c r="Q43" s="89"/>
      <c r="R43" s="84">
        <f>'Yield &amp; income projections'!F$61</f>
        <v>36000</v>
      </c>
      <c r="S43" s="85">
        <f t="shared" si="8"/>
        <v>2791.1</v>
      </c>
      <c r="T43" s="85">
        <f t="shared" si="8"/>
        <v>652.79999999999995</v>
      </c>
      <c r="U43" s="85">
        <f t="shared" si="8"/>
        <v>1850</v>
      </c>
      <c r="V43" s="85">
        <f t="shared" si="8"/>
        <v>268.96100000000001</v>
      </c>
      <c r="W43" s="86">
        <f t="shared" si="1"/>
        <v>30437.139000000003</v>
      </c>
      <c r="X43" s="87">
        <f t="shared" si="5"/>
        <v>429270.96395000012</v>
      </c>
    </row>
    <row r="45" spans="1:24" x14ac:dyDescent="0.3">
      <c r="C45" s="31">
        <f>C43</f>
        <v>2791.1</v>
      </c>
      <c r="N45" s="31"/>
      <c r="O45" s="4"/>
    </row>
  </sheetData>
  <sheetProtection sheet="1" objects="1" scenarios="1" selectLockedCells="1"/>
  <mergeCells count="6">
    <mergeCell ref="R3:T3"/>
    <mergeCell ref="R4:T4"/>
    <mergeCell ref="J3:L3"/>
    <mergeCell ref="J4:L4"/>
    <mergeCell ref="B3:C3"/>
    <mergeCell ref="B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2B4D-89D4-45CC-BD37-1CE23F9FF3D6}">
  <dimension ref="A1:AH69"/>
  <sheetViews>
    <sheetView workbookViewId="0">
      <selection activeCell="B1" sqref="B1"/>
    </sheetView>
  </sheetViews>
  <sheetFormatPr defaultRowHeight="14.4" x14ac:dyDescent="0.3"/>
  <cols>
    <col min="2" max="2" width="22.33203125" customWidth="1"/>
    <col min="3" max="3" width="6.77734375" customWidth="1"/>
    <col min="4" max="4" width="9.88671875" customWidth="1"/>
    <col min="5" max="5" width="6.77734375" customWidth="1"/>
    <col min="6" max="6" width="3.21875" customWidth="1"/>
    <col min="7" max="7" width="11.44140625" customWidth="1"/>
    <col min="8" max="8" width="3.21875" customWidth="1"/>
    <col min="9" max="9" width="10.21875" bestFit="1" customWidth="1"/>
    <col min="10" max="10" width="3.21875" customWidth="1"/>
    <col min="11" max="11" width="10.77734375" bestFit="1" customWidth="1"/>
    <col min="12" max="12" width="3.21875" customWidth="1"/>
    <col min="13" max="13" width="10.77734375" bestFit="1" customWidth="1"/>
    <col min="14" max="14" width="3.21875" customWidth="1"/>
    <col min="15" max="15" width="13.21875" customWidth="1"/>
    <col min="16" max="16" width="3.21875" customWidth="1"/>
    <col min="17" max="17" width="15.21875" customWidth="1"/>
    <col min="18" max="18" width="3.21875" customWidth="1"/>
    <col min="19" max="19" width="11" bestFit="1" customWidth="1"/>
    <col min="20" max="20" width="3.21875" customWidth="1"/>
    <col min="21" max="21" width="10.77734375" bestFit="1" customWidth="1"/>
    <col min="22" max="22" width="3.21875" customWidth="1"/>
    <col min="23" max="23" width="10.77734375" bestFit="1" customWidth="1"/>
    <col min="24" max="24" width="3.21875" customWidth="1"/>
    <col min="25" max="25" width="10.77734375" bestFit="1" customWidth="1"/>
    <col min="26" max="26" width="3.21875" customWidth="1"/>
    <col min="27" max="27" width="10.77734375" bestFit="1" customWidth="1"/>
    <col min="28" max="28" width="3.21875" customWidth="1"/>
    <col min="29" max="29" width="13" customWidth="1"/>
    <col min="30" max="31" width="9.21875" customWidth="1"/>
    <col min="33" max="36" width="9.21875" customWidth="1"/>
  </cols>
  <sheetData>
    <row r="1" spans="1:34" ht="18" x14ac:dyDescent="0.35">
      <c r="A1" s="43" t="s">
        <v>302</v>
      </c>
      <c r="B1" s="109"/>
    </row>
    <row r="2" spans="1:34" ht="18" x14ac:dyDescent="0.35">
      <c r="B2" s="22" t="s">
        <v>292</v>
      </c>
      <c r="C2" s="43"/>
      <c r="D2" s="43"/>
      <c r="E2" s="43"/>
      <c r="F2" s="43"/>
      <c r="G2" s="43"/>
      <c r="H2" s="43"/>
      <c r="I2" s="43"/>
      <c r="J2" s="43"/>
      <c r="K2" s="43"/>
      <c r="L2" s="43"/>
      <c r="M2" s="43"/>
      <c r="N2" s="43"/>
      <c r="O2" s="43"/>
      <c r="P2" s="43"/>
      <c r="Q2" s="43"/>
      <c r="R2" s="43"/>
      <c r="S2" s="43"/>
      <c r="X2" s="20"/>
      <c r="Y2" s="20"/>
      <c r="Z2" s="20"/>
      <c r="AA2" s="20"/>
      <c r="AB2" s="20"/>
      <c r="AC2" s="20"/>
      <c r="AD2" s="20"/>
      <c r="AE2" s="20"/>
      <c r="AF2" s="20"/>
      <c r="AG2" s="20"/>
      <c r="AH2" s="20"/>
    </row>
    <row r="3" spans="1:34" ht="18" x14ac:dyDescent="0.35">
      <c r="A3" s="2" t="s">
        <v>251</v>
      </c>
      <c r="B3" s="23"/>
      <c r="C3" s="23"/>
      <c r="D3" s="23"/>
      <c r="E3" s="23"/>
      <c r="F3" s="23"/>
      <c r="G3" s="23"/>
      <c r="H3" s="23"/>
      <c r="I3" s="23"/>
      <c r="J3" s="23"/>
      <c r="K3" s="23"/>
      <c r="L3" s="23"/>
      <c r="M3" s="23"/>
      <c r="N3" s="23"/>
      <c r="O3" s="23"/>
      <c r="P3" s="23"/>
      <c r="Q3" s="23"/>
      <c r="R3" s="23"/>
      <c r="S3" s="23"/>
      <c r="X3" s="20"/>
      <c r="Y3" s="20"/>
      <c r="Z3" s="20"/>
      <c r="AA3" s="20"/>
      <c r="AB3" s="20"/>
      <c r="AC3" s="20"/>
      <c r="AD3" s="20"/>
      <c r="AE3" s="20"/>
      <c r="AF3" s="20"/>
      <c r="AG3" s="20"/>
      <c r="AH3" s="20"/>
    </row>
    <row r="4" spans="1:34" ht="18" x14ac:dyDescent="0.35">
      <c r="A4" s="2">
        <v>1</v>
      </c>
      <c r="B4" s="52" t="s">
        <v>362</v>
      </c>
      <c r="C4" s="23"/>
      <c r="D4" s="23"/>
      <c r="E4" s="23"/>
      <c r="F4" s="23"/>
      <c r="G4" s="23"/>
      <c r="H4" s="23"/>
      <c r="I4" s="23"/>
      <c r="J4" s="23"/>
      <c r="K4" s="23"/>
      <c r="L4" s="23"/>
      <c r="M4" s="23"/>
      <c r="N4" s="23"/>
      <c r="O4" s="23"/>
      <c r="P4" s="23"/>
      <c r="Q4" s="23"/>
      <c r="R4" s="23"/>
      <c r="S4" s="23"/>
      <c r="X4" s="20"/>
      <c r="Y4" s="20"/>
      <c r="Z4" s="20"/>
      <c r="AA4" s="20"/>
      <c r="AB4" s="20"/>
      <c r="AC4" s="20"/>
      <c r="AD4" s="20"/>
      <c r="AE4" s="20"/>
      <c r="AF4" s="20"/>
      <c r="AG4" s="20"/>
      <c r="AH4" s="20"/>
    </row>
    <row r="5" spans="1:34" ht="18.600000000000001" thickBot="1" x14ac:dyDescent="0.4">
      <c r="A5" s="2"/>
      <c r="B5" s="52"/>
      <c r="C5" s="23"/>
      <c r="D5" s="23"/>
      <c r="E5" s="23"/>
      <c r="F5" s="23"/>
      <c r="G5" s="23"/>
      <c r="H5" s="23"/>
      <c r="I5" s="23"/>
      <c r="J5" s="23"/>
      <c r="K5" s="23"/>
      <c r="L5" s="23"/>
      <c r="M5" s="23"/>
      <c r="N5" s="23"/>
      <c r="O5" s="23"/>
      <c r="P5" s="23"/>
      <c r="Q5" s="23"/>
      <c r="R5" s="23"/>
      <c r="S5" s="23"/>
      <c r="X5" s="20"/>
      <c r="Y5" s="20"/>
      <c r="Z5" s="20"/>
      <c r="AA5" s="20"/>
      <c r="AB5" s="20"/>
      <c r="AC5" s="20"/>
      <c r="AD5" s="20"/>
      <c r="AE5" s="20"/>
      <c r="AF5" s="20"/>
      <c r="AG5" s="20"/>
      <c r="AH5" s="20"/>
    </row>
    <row r="6" spans="1:34" ht="19.2" thickTop="1" thickBot="1" x14ac:dyDescent="0.4">
      <c r="A6" s="2"/>
      <c r="B6" s="6" t="s">
        <v>363</v>
      </c>
      <c r="D6" s="90">
        <v>5.5E-2</v>
      </c>
      <c r="E6" s="23"/>
      <c r="F6" s="23"/>
      <c r="G6" s="63" t="s">
        <v>364</v>
      </c>
      <c r="H6" s="64"/>
      <c r="I6" s="64"/>
      <c r="J6" s="64"/>
      <c r="K6" s="64"/>
      <c r="L6" s="23"/>
      <c r="M6" s="23"/>
      <c r="N6" s="23"/>
      <c r="O6" s="23"/>
      <c r="P6" s="23"/>
      <c r="Q6" s="23"/>
      <c r="R6" s="23"/>
      <c r="S6" s="23"/>
      <c r="X6" s="20"/>
      <c r="Y6" s="20"/>
      <c r="Z6" s="20"/>
      <c r="AA6" s="20"/>
      <c r="AB6" s="20"/>
      <c r="AC6" s="20"/>
      <c r="AD6" s="20"/>
      <c r="AE6" s="20"/>
      <c r="AF6" s="20"/>
      <c r="AG6" s="20"/>
      <c r="AH6" s="20"/>
    </row>
    <row r="7" spans="1:34" ht="18.600000000000001" thickTop="1" x14ac:dyDescent="0.35">
      <c r="A7" s="2"/>
      <c r="B7" s="52"/>
      <c r="C7" s="23"/>
      <c r="D7" s="23"/>
      <c r="E7" s="23"/>
      <c r="F7" s="23"/>
      <c r="G7" s="64" t="s">
        <v>365</v>
      </c>
      <c r="H7" s="64"/>
      <c r="I7" s="64"/>
      <c r="J7" s="64"/>
      <c r="K7" s="64"/>
      <c r="L7" s="23"/>
      <c r="M7" s="23"/>
      <c r="N7" s="23"/>
      <c r="O7" s="23"/>
      <c r="P7" s="23"/>
      <c r="Q7" s="23"/>
      <c r="R7" s="23"/>
      <c r="S7" s="23"/>
      <c r="X7" s="20"/>
      <c r="Y7" s="20"/>
      <c r="Z7" s="20"/>
      <c r="AA7" s="20"/>
      <c r="AB7" s="20"/>
      <c r="AC7" s="20"/>
      <c r="AD7" s="20"/>
      <c r="AE7" s="20"/>
      <c r="AF7" s="20"/>
      <c r="AG7" s="20"/>
      <c r="AH7" s="20"/>
    </row>
    <row r="8" spans="1:34" ht="18" x14ac:dyDescent="0.35">
      <c r="A8" s="2">
        <v>2</v>
      </c>
      <c r="B8" s="52" t="s">
        <v>290</v>
      </c>
      <c r="C8" s="7"/>
      <c r="D8" s="7"/>
      <c r="E8" s="7"/>
      <c r="F8" s="7"/>
      <c r="G8" s="7"/>
      <c r="H8" s="7"/>
      <c r="I8" s="7"/>
      <c r="J8" s="23"/>
      <c r="K8" s="23"/>
      <c r="L8" s="23"/>
      <c r="M8" s="23"/>
      <c r="N8" s="23"/>
      <c r="O8" s="23"/>
      <c r="P8" s="23"/>
      <c r="Q8" s="23"/>
      <c r="R8" s="23"/>
      <c r="S8" s="23"/>
      <c r="X8" s="20"/>
      <c r="Y8" s="20"/>
      <c r="Z8" s="20"/>
      <c r="AA8" s="20"/>
      <c r="AB8" s="20"/>
      <c r="AC8" s="20"/>
      <c r="AD8" s="20"/>
      <c r="AE8" s="20"/>
      <c r="AF8" s="20"/>
      <c r="AG8" s="20"/>
      <c r="AH8" s="20"/>
    </row>
    <row r="9" spans="1:34" ht="18" x14ac:dyDescent="0.35">
      <c r="B9" s="23"/>
      <c r="C9" s="23"/>
      <c r="D9" s="23"/>
      <c r="E9" s="23"/>
      <c r="F9" s="23"/>
      <c r="G9" s="23"/>
      <c r="H9" s="23"/>
      <c r="I9" s="23"/>
      <c r="J9" s="23"/>
      <c r="K9" s="23"/>
      <c r="L9" s="23"/>
      <c r="M9" s="23"/>
      <c r="N9" s="23"/>
      <c r="O9" s="23"/>
      <c r="P9" s="23"/>
      <c r="Q9" s="23"/>
      <c r="R9" s="23"/>
      <c r="S9" s="23"/>
      <c r="X9" s="20"/>
      <c r="Y9" s="20"/>
      <c r="Z9" s="20"/>
      <c r="AA9" s="20"/>
      <c r="AB9" s="20"/>
      <c r="AC9" s="20"/>
      <c r="AD9" s="20"/>
      <c r="AE9" s="20"/>
      <c r="AF9" s="20"/>
      <c r="AG9" s="20"/>
      <c r="AH9" s="20"/>
    </row>
    <row r="10" spans="1:34" ht="18.600000000000001" thickBot="1" x14ac:dyDescent="0.4">
      <c r="B10" s="6" t="s">
        <v>225</v>
      </c>
      <c r="C10" s="2"/>
      <c r="D10" s="2"/>
      <c r="E10" s="23"/>
      <c r="F10" s="23"/>
      <c r="G10" s="23"/>
      <c r="H10" s="23"/>
      <c r="I10" s="23"/>
      <c r="J10" s="23"/>
      <c r="K10" s="23"/>
      <c r="L10" s="23"/>
      <c r="M10" s="23"/>
      <c r="N10" s="23"/>
      <c r="O10" s="23"/>
      <c r="P10" s="23"/>
      <c r="Q10" s="23"/>
      <c r="R10" s="23"/>
      <c r="S10" s="23"/>
      <c r="X10" s="20"/>
      <c r="Y10" s="20"/>
      <c r="Z10" s="20"/>
      <c r="AA10" s="20"/>
      <c r="AB10" s="20"/>
      <c r="AC10" s="20"/>
      <c r="AD10" s="20"/>
      <c r="AE10" s="20"/>
      <c r="AF10" s="20"/>
      <c r="AG10" s="20"/>
      <c r="AH10" s="20"/>
    </row>
    <row r="11" spans="1:34" ht="19.2" thickTop="1" thickBot="1" x14ac:dyDescent="0.4">
      <c r="B11" t="s">
        <v>48</v>
      </c>
      <c r="D11" s="91">
        <v>25</v>
      </c>
      <c r="E11" s="23"/>
      <c r="F11" s="23"/>
      <c r="G11" s="23"/>
      <c r="H11" s="23"/>
      <c r="I11" s="23"/>
      <c r="J11" s="23"/>
      <c r="K11" s="23"/>
      <c r="L11" s="23"/>
      <c r="M11" s="23"/>
      <c r="N11" s="23"/>
      <c r="O11" s="23"/>
      <c r="P11" s="23"/>
      <c r="Q11" s="23"/>
      <c r="R11" s="23"/>
      <c r="S11" s="23"/>
      <c r="X11" s="20"/>
      <c r="Y11" s="20"/>
      <c r="Z11" s="20"/>
      <c r="AA11" s="20"/>
      <c r="AB11" s="20"/>
      <c r="AC11" s="20"/>
      <c r="AD11" s="20"/>
      <c r="AE11" s="20"/>
      <c r="AF11" s="20"/>
      <c r="AG11" s="20"/>
      <c r="AH11" s="20"/>
    </row>
    <row r="12" spans="1:34" ht="15.6" thickTop="1" thickBot="1" x14ac:dyDescent="0.35">
      <c r="B12" t="s">
        <v>9</v>
      </c>
      <c r="D12" s="91">
        <v>20</v>
      </c>
      <c r="E12" s="2"/>
      <c r="F12" s="2"/>
      <c r="G12" s="2"/>
      <c r="K12" s="2"/>
      <c r="M12" s="2"/>
      <c r="AB12" s="1"/>
      <c r="AD12" s="1"/>
      <c r="AF12" s="5"/>
    </row>
    <row r="13" spans="1:34" ht="15.6" thickTop="1" thickBot="1" x14ac:dyDescent="0.35">
      <c r="B13" t="s">
        <v>49</v>
      </c>
      <c r="D13" s="91">
        <v>18</v>
      </c>
      <c r="K13" s="2"/>
      <c r="M13" s="2"/>
      <c r="Z13" s="1"/>
      <c r="AA13" s="1"/>
      <c r="AB13" s="1"/>
      <c r="AD13" s="1"/>
      <c r="AF13" s="5"/>
      <c r="AH13" s="5"/>
    </row>
    <row r="14" spans="1:34" ht="15" thickTop="1" x14ac:dyDescent="0.3">
      <c r="Z14" s="12"/>
      <c r="AA14" s="12"/>
      <c r="AB14" s="12"/>
      <c r="AD14" s="1"/>
      <c r="AF14" s="5"/>
      <c r="AH14" s="5"/>
    </row>
    <row r="15" spans="1:34" ht="18" x14ac:dyDescent="0.35">
      <c r="A15" s="2">
        <v>3</v>
      </c>
      <c r="B15" s="52" t="s">
        <v>291</v>
      </c>
      <c r="C15" s="7"/>
      <c r="D15" s="7"/>
      <c r="E15" s="7"/>
      <c r="F15" s="7"/>
      <c r="G15" s="7"/>
      <c r="H15" s="7"/>
      <c r="I15" s="7"/>
      <c r="J15" s="23"/>
      <c r="K15" s="23"/>
      <c r="L15" s="23"/>
      <c r="M15" s="23"/>
      <c r="N15" s="23"/>
      <c r="O15" s="23"/>
      <c r="P15" s="23"/>
      <c r="Q15" s="23"/>
      <c r="R15" s="23"/>
      <c r="S15" s="23"/>
      <c r="X15" s="20"/>
      <c r="Y15" s="20"/>
      <c r="Z15" s="20"/>
      <c r="AA15" s="20"/>
      <c r="AB15" s="20"/>
      <c r="AC15" s="20"/>
      <c r="AD15" s="20"/>
      <c r="AE15" s="20"/>
      <c r="AF15" s="20"/>
      <c r="AG15" s="20"/>
      <c r="AH15" s="20"/>
    </row>
    <row r="16" spans="1:34" ht="15" thickBot="1" x14ac:dyDescent="0.35">
      <c r="B16" s="2"/>
      <c r="C16" s="2"/>
      <c r="D16" s="2"/>
      <c r="E16" s="2"/>
      <c r="F16" s="2"/>
      <c r="G16" s="2"/>
      <c r="H16" s="2"/>
      <c r="I16" s="2"/>
      <c r="Z16" s="1"/>
      <c r="AA16" s="1"/>
      <c r="AB16" s="1"/>
      <c r="AD16" s="1"/>
      <c r="AF16" s="5"/>
      <c r="AH16" s="5"/>
    </row>
    <row r="17" spans="1:34" ht="15.6" thickTop="1" thickBot="1" x14ac:dyDescent="0.35">
      <c r="B17" s="6" t="s">
        <v>224</v>
      </c>
      <c r="C17" s="2"/>
      <c r="D17" s="91">
        <v>1.85</v>
      </c>
      <c r="E17" s="2"/>
      <c r="F17" s="2"/>
      <c r="G17" s="2"/>
      <c r="Z17" s="1"/>
      <c r="AA17" s="1"/>
      <c r="AB17" s="1"/>
      <c r="AD17" s="1"/>
      <c r="AF17" s="5"/>
      <c r="AH17" s="5"/>
    </row>
    <row r="18" spans="1:34" ht="15" thickTop="1" x14ac:dyDescent="0.3">
      <c r="F18" s="1"/>
      <c r="Z18" s="1"/>
      <c r="AA18" s="1"/>
      <c r="AB18" s="1"/>
      <c r="AD18" s="1"/>
      <c r="AF18" s="5"/>
      <c r="AH18" s="5"/>
    </row>
    <row r="19" spans="1:34" x14ac:dyDescent="0.3">
      <c r="A19" s="2">
        <v>4</v>
      </c>
      <c r="B19" s="52" t="s">
        <v>387</v>
      </c>
      <c r="F19" s="1"/>
      <c r="Z19" s="1"/>
      <c r="AA19" s="1"/>
      <c r="AB19" s="1"/>
      <c r="AD19" s="1"/>
      <c r="AF19" s="5"/>
      <c r="AH19" s="5"/>
    </row>
    <row r="20" spans="1:34" x14ac:dyDescent="0.3">
      <c r="F20" s="1"/>
      <c r="Z20" s="1"/>
      <c r="AA20" s="1"/>
      <c r="AB20" s="1"/>
      <c r="AD20" s="1"/>
      <c r="AF20" s="5"/>
      <c r="AH20" s="5"/>
    </row>
    <row r="21" spans="1:34" ht="15" thickBot="1" x14ac:dyDescent="0.35">
      <c r="B21" s="7" t="s">
        <v>386</v>
      </c>
      <c r="F21" s="1"/>
      <c r="Z21" s="1"/>
      <c r="AA21" s="1"/>
      <c r="AB21" s="1"/>
      <c r="AD21" s="1"/>
      <c r="AF21" s="5"/>
      <c r="AH21" s="5"/>
    </row>
    <row r="22" spans="1:34" ht="15.6" thickTop="1" thickBot="1" x14ac:dyDescent="0.35">
      <c r="B22" t="s">
        <v>389</v>
      </c>
      <c r="D22" s="91">
        <v>2.5</v>
      </c>
      <c r="F22" s="1"/>
      <c r="Z22" s="1"/>
      <c r="AA22" s="1"/>
      <c r="AB22" s="1"/>
      <c r="AD22" s="1"/>
      <c r="AF22" s="5"/>
      <c r="AH22" s="5"/>
    </row>
    <row r="23" spans="1:34" ht="15.6" thickTop="1" thickBot="1" x14ac:dyDescent="0.35">
      <c r="B23" t="s">
        <v>390</v>
      </c>
      <c r="D23" s="91">
        <v>2.4</v>
      </c>
      <c r="F23" s="1"/>
      <c r="Z23" s="1"/>
      <c r="AA23" s="1"/>
      <c r="AB23" s="1"/>
      <c r="AD23" s="1"/>
      <c r="AF23" s="5"/>
      <c r="AH23" s="5"/>
    </row>
    <row r="24" spans="1:34" ht="15.6" thickTop="1" thickBot="1" x14ac:dyDescent="0.35">
      <c r="B24" t="s">
        <v>234</v>
      </c>
      <c r="D24" s="91">
        <v>1.95</v>
      </c>
      <c r="F24" s="1"/>
      <c r="Z24" s="1"/>
      <c r="AA24" s="1"/>
      <c r="AB24" s="1"/>
      <c r="AD24" s="1"/>
      <c r="AF24" s="5"/>
      <c r="AH24" s="5"/>
    </row>
    <row r="25" spans="1:34" ht="15" thickTop="1" x14ac:dyDescent="0.3">
      <c r="D25" s="54"/>
      <c r="F25" s="1"/>
      <c r="Z25" s="1"/>
      <c r="AA25" s="1"/>
      <c r="AB25" s="1"/>
      <c r="AD25" s="1"/>
      <c r="AF25" s="5"/>
      <c r="AH25" s="5"/>
    </row>
    <row r="26" spans="1:34" x14ac:dyDescent="0.3">
      <c r="A26" s="2">
        <v>5</v>
      </c>
      <c r="B26" s="52" t="s">
        <v>361</v>
      </c>
      <c r="F26" s="1"/>
      <c r="Z26" s="1"/>
      <c r="AA26" s="1"/>
      <c r="AB26" s="1"/>
      <c r="AD26" s="1"/>
      <c r="AF26" s="5"/>
      <c r="AH26" s="5"/>
    </row>
    <row r="27" spans="1:34" x14ac:dyDescent="0.3">
      <c r="F27" s="1"/>
      <c r="Z27" s="1"/>
      <c r="AA27" s="1"/>
      <c r="AB27" s="1"/>
      <c r="AD27" s="1"/>
      <c r="AF27" s="5"/>
      <c r="AH27" s="5"/>
    </row>
    <row r="28" spans="1:34" ht="15" thickBot="1" x14ac:dyDescent="0.35">
      <c r="B28" s="7" t="s">
        <v>358</v>
      </c>
      <c r="F28" s="1"/>
      <c r="Z28" s="1"/>
      <c r="AA28" s="1"/>
      <c r="AB28" s="1"/>
      <c r="AD28" s="1"/>
      <c r="AF28" s="5"/>
      <c r="AH28" s="5"/>
    </row>
    <row r="29" spans="1:34" ht="15.6" thickTop="1" thickBot="1" x14ac:dyDescent="0.35">
      <c r="B29" t="s">
        <v>359</v>
      </c>
      <c r="D29" s="91">
        <v>4.5</v>
      </c>
      <c r="AB29" s="2"/>
      <c r="AF29" s="2"/>
      <c r="AH29" s="2"/>
    </row>
    <row r="30" spans="1:34" ht="15.6" thickTop="1" thickBot="1" x14ac:dyDescent="0.35">
      <c r="B30" t="s">
        <v>360</v>
      </c>
      <c r="D30" s="91">
        <v>3.5</v>
      </c>
      <c r="Z30" s="1"/>
      <c r="AA30" s="1"/>
      <c r="AB30" s="1"/>
      <c r="AD30" s="1"/>
      <c r="AF30" s="5"/>
      <c r="AH30" s="5"/>
    </row>
    <row r="31" spans="1:34" ht="15.6" thickTop="1" thickBot="1" x14ac:dyDescent="0.35">
      <c r="B31" t="s">
        <v>366</v>
      </c>
      <c r="D31" s="91">
        <v>1</v>
      </c>
      <c r="X31" s="13"/>
      <c r="Z31" s="1"/>
      <c r="AA31" s="1"/>
      <c r="AB31" s="1"/>
      <c r="AF31" s="1"/>
      <c r="AH31" s="1"/>
    </row>
    <row r="32" spans="1:34" ht="15" thickTop="1" x14ac:dyDescent="0.3">
      <c r="D32" s="54"/>
      <c r="AB32" s="2"/>
      <c r="AF32" s="2"/>
      <c r="AH32" s="2"/>
    </row>
    <row r="33" spans="1:34" x14ac:dyDescent="0.3">
      <c r="A33" s="2">
        <v>6</v>
      </c>
      <c r="B33" s="52" t="s">
        <v>295</v>
      </c>
      <c r="D33" s="54"/>
      <c r="AB33" s="2"/>
      <c r="AF33" s="2"/>
      <c r="AH33" s="2"/>
    </row>
    <row r="34" spans="1:34" ht="18" x14ac:dyDescent="0.35">
      <c r="C34" s="23"/>
      <c r="D34" s="23"/>
      <c r="E34" s="23"/>
      <c r="F34" s="23"/>
      <c r="G34" s="23"/>
      <c r="H34" s="23"/>
      <c r="I34" s="23"/>
      <c r="J34" s="23"/>
      <c r="K34" s="23"/>
      <c r="L34" s="23"/>
      <c r="O34" s="2" t="s">
        <v>286</v>
      </c>
      <c r="P34" s="23"/>
      <c r="Q34" s="2" t="s">
        <v>289</v>
      </c>
      <c r="R34" s="23"/>
      <c r="S34" s="23"/>
      <c r="U34" s="2" t="s">
        <v>63</v>
      </c>
      <c r="X34" s="20"/>
      <c r="Y34" s="6" t="s">
        <v>55</v>
      </c>
      <c r="Z34" s="20"/>
      <c r="AA34" s="20"/>
      <c r="AB34" s="20"/>
      <c r="AC34" s="20"/>
      <c r="AD34" s="20"/>
      <c r="AE34" s="20"/>
      <c r="AF34" s="20"/>
      <c r="AG34" s="20"/>
      <c r="AH34" s="20"/>
    </row>
    <row r="35" spans="1:34" x14ac:dyDescent="0.3">
      <c r="I35" s="2" t="s">
        <v>26</v>
      </c>
      <c r="K35" s="2" t="s">
        <v>64</v>
      </c>
      <c r="M35" s="2" t="s">
        <v>62</v>
      </c>
      <c r="N35" s="6"/>
      <c r="O35" s="2" t="s">
        <v>53</v>
      </c>
      <c r="P35" s="6"/>
      <c r="Q35" s="2" t="s">
        <v>50</v>
      </c>
      <c r="S35" s="2" t="s">
        <v>2</v>
      </c>
      <c r="U35" s="2" t="s">
        <v>1</v>
      </c>
      <c r="W35" s="2" t="s">
        <v>54</v>
      </c>
      <c r="Y35" s="2" t="s">
        <v>1</v>
      </c>
      <c r="AA35" s="2" t="s">
        <v>51</v>
      </c>
    </row>
    <row r="36" spans="1:34" ht="16.8" thickBot="1" x14ac:dyDescent="0.35">
      <c r="B36" s="7" t="s">
        <v>294</v>
      </c>
      <c r="D36" s="2" t="s">
        <v>58</v>
      </c>
      <c r="E36" s="2" t="s">
        <v>59</v>
      </c>
      <c r="F36" s="2"/>
      <c r="G36" s="2" t="s">
        <v>1</v>
      </c>
      <c r="I36" s="2" t="s">
        <v>27</v>
      </c>
      <c r="K36" s="2" t="s">
        <v>367</v>
      </c>
      <c r="M36" s="2" t="s">
        <v>287</v>
      </c>
      <c r="N36" s="6"/>
      <c r="O36" s="2" t="s">
        <v>307</v>
      </c>
      <c r="P36" s="6"/>
      <c r="Q36" s="2" t="s">
        <v>226</v>
      </c>
      <c r="S36" s="2" t="s">
        <v>3</v>
      </c>
      <c r="U36" s="2" t="s">
        <v>52</v>
      </c>
      <c r="W36" s="2" t="s">
        <v>368</v>
      </c>
      <c r="Y36" s="2" t="s">
        <v>227</v>
      </c>
      <c r="AA36" s="2" t="s">
        <v>52</v>
      </c>
      <c r="AF36" s="2"/>
      <c r="AH36" s="2"/>
    </row>
    <row r="37" spans="1:34" ht="15.6" thickTop="1" thickBot="1" x14ac:dyDescent="0.35">
      <c r="B37" t="s">
        <v>4</v>
      </c>
      <c r="G37" s="91">
        <v>550</v>
      </c>
      <c r="I37" s="92">
        <v>7</v>
      </c>
      <c r="J37" s="1"/>
      <c r="K37" s="93">
        <v>0.05</v>
      </c>
      <c r="M37" s="5">
        <f>G37*K37</f>
        <v>27.5</v>
      </c>
      <c r="O37" s="5">
        <f>(G37-M37)/I37</f>
        <v>74.642857142857139</v>
      </c>
      <c r="Q37" s="94">
        <v>1.4</v>
      </c>
      <c r="S37" s="92">
        <v>100</v>
      </c>
      <c r="U37" s="5">
        <f>(O37*Q37)/S37</f>
        <v>1.0449999999999999</v>
      </c>
      <c r="W37" s="5">
        <f>(D30+D31)*6/128</f>
        <v>0.2109375</v>
      </c>
      <c r="X37" s="11"/>
      <c r="Y37" s="5">
        <v>0</v>
      </c>
      <c r="AA37" s="5">
        <f>U37+W37+Y37</f>
        <v>1.2559374999999999</v>
      </c>
      <c r="AB37" s="2"/>
      <c r="AE37" s="1"/>
      <c r="AF37" s="2"/>
      <c r="AH37" s="2"/>
    </row>
    <row r="38" spans="1:34" ht="15.6" thickTop="1" thickBot="1" x14ac:dyDescent="0.35">
      <c r="B38" t="s">
        <v>56</v>
      </c>
      <c r="D38" s="92">
        <v>60</v>
      </c>
      <c r="E38" s="1" t="s">
        <v>60</v>
      </c>
      <c r="F38" s="1"/>
      <c r="G38" s="91">
        <v>35000</v>
      </c>
      <c r="H38" s="1"/>
      <c r="I38" s="92">
        <v>20</v>
      </c>
      <c r="J38" s="1"/>
      <c r="K38" s="93">
        <v>0.2</v>
      </c>
      <c r="L38" s="1"/>
      <c r="M38" s="5">
        <f t="shared" ref="M38:M39" si="0">G38*K38</f>
        <v>7000</v>
      </c>
      <c r="N38" s="1"/>
      <c r="O38" s="5">
        <f t="shared" ref="O38:O39" si="1">(G38-M38)/I38</f>
        <v>1400</v>
      </c>
      <c r="P38" s="1"/>
      <c r="Q38" s="94">
        <v>0.8</v>
      </c>
      <c r="R38" s="1"/>
      <c r="S38" s="92">
        <v>250</v>
      </c>
      <c r="T38" s="1"/>
      <c r="U38" s="5">
        <f t="shared" ref="U38:U39" si="2">(O38*Q38)/S38</f>
        <v>4.4800000000000004</v>
      </c>
      <c r="V38" s="1"/>
      <c r="W38" s="5">
        <f>D38*($D$29*0.044)</f>
        <v>11.879999999999999</v>
      </c>
      <c r="X38" s="5"/>
      <c r="Y38" s="5">
        <f>W38*0.006</f>
        <v>7.1279999999999996E-2</v>
      </c>
      <c r="Z38" s="1"/>
      <c r="AA38" s="5">
        <f>U38+W38+Y38</f>
        <v>16.431280000000001</v>
      </c>
      <c r="AB38" s="2"/>
      <c r="AE38" s="1"/>
      <c r="AF38" s="2"/>
      <c r="AH38" s="2"/>
    </row>
    <row r="39" spans="1:34" ht="15.6" thickTop="1" thickBot="1" x14ac:dyDescent="0.35">
      <c r="B39" t="s">
        <v>57</v>
      </c>
      <c r="D39" s="92">
        <v>75</v>
      </c>
      <c r="E39" s="1" t="s">
        <v>60</v>
      </c>
      <c r="F39" s="1"/>
      <c r="G39" s="91">
        <v>50000</v>
      </c>
      <c r="H39" s="1"/>
      <c r="I39" s="92">
        <v>20</v>
      </c>
      <c r="J39" s="1"/>
      <c r="K39" s="93">
        <v>0.2</v>
      </c>
      <c r="L39" s="1"/>
      <c r="M39" s="5">
        <f t="shared" si="0"/>
        <v>10000</v>
      </c>
      <c r="N39" s="1"/>
      <c r="O39" s="5">
        <f t="shared" si="1"/>
        <v>2000</v>
      </c>
      <c r="P39" s="1"/>
      <c r="Q39" s="94">
        <v>0.8</v>
      </c>
      <c r="R39" s="1"/>
      <c r="S39" s="92">
        <v>300</v>
      </c>
      <c r="T39" s="1"/>
      <c r="U39" s="5">
        <f t="shared" si="2"/>
        <v>5.333333333333333</v>
      </c>
      <c r="V39" s="1"/>
      <c r="W39" s="5">
        <f>D39*($D$29*0.044)</f>
        <v>14.849999999999998</v>
      </c>
      <c r="X39" s="5"/>
      <c r="Y39" s="5">
        <f t="shared" ref="Y39:Y42" si="3">W39*0.006</f>
        <v>8.9099999999999985E-2</v>
      </c>
      <c r="Z39" s="1"/>
      <c r="AA39" s="5">
        <f>U39+W39+Y39</f>
        <v>20.272433333333328</v>
      </c>
      <c r="AB39" s="2"/>
      <c r="AE39" s="1"/>
      <c r="AF39" s="2"/>
      <c r="AH39" s="2"/>
    </row>
    <row r="40" spans="1:34" ht="15.6" thickTop="1" thickBot="1" x14ac:dyDescent="0.35">
      <c r="B40" t="s">
        <v>65</v>
      </c>
      <c r="D40" s="92">
        <v>90</v>
      </c>
      <c r="E40" s="1" t="s">
        <v>60</v>
      </c>
      <c r="G40" s="91">
        <v>60000</v>
      </c>
      <c r="I40" s="92">
        <v>20</v>
      </c>
      <c r="J40" s="1"/>
      <c r="K40" s="93">
        <v>0.2</v>
      </c>
      <c r="M40" s="5">
        <f t="shared" ref="M40:M45" si="4">G40*K40</f>
        <v>12000</v>
      </c>
      <c r="O40" s="5">
        <f t="shared" ref="O40:O45" si="5">(G40-M40)/I40</f>
        <v>2400</v>
      </c>
      <c r="Q40" s="94">
        <v>0.8</v>
      </c>
      <c r="S40" s="92">
        <v>400</v>
      </c>
      <c r="U40" s="5">
        <f t="shared" ref="U40:U45" si="6">(O40*Q40)/S40</f>
        <v>4.8</v>
      </c>
      <c r="W40" s="5">
        <f>D40*($D$29*0.044)</f>
        <v>17.819999999999997</v>
      </c>
      <c r="Y40" s="5">
        <f t="shared" si="3"/>
        <v>0.10691999999999999</v>
      </c>
      <c r="Z40" s="1"/>
      <c r="AA40" s="5">
        <f t="shared" ref="AA40:AA42" si="7">U40+W40+Y40</f>
        <v>22.726919999999996</v>
      </c>
      <c r="AB40" s="1"/>
      <c r="AF40" s="5"/>
      <c r="AH40" s="5"/>
    </row>
    <row r="41" spans="1:34" ht="15.6" thickTop="1" thickBot="1" x14ac:dyDescent="0.35">
      <c r="B41" t="s">
        <v>66</v>
      </c>
      <c r="D41" s="92">
        <v>105</v>
      </c>
      <c r="E41" s="1" t="s">
        <v>60</v>
      </c>
      <c r="G41" s="91">
        <v>80000</v>
      </c>
      <c r="I41" s="92">
        <v>20</v>
      </c>
      <c r="J41" s="1"/>
      <c r="K41" s="93">
        <v>0.2</v>
      </c>
      <c r="M41" s="5">
        <f t="shared" si="4"/>
        <v>16000</v>
      </c>
      <c r="O41" s="5">
        <f t="shared" si="5"/>
        <v>3200</v>
      </c>
      <c r="Q41" s="94">
        <v>0.8</v>
      </c>
      <c r="S41" s="92">
        <v>400</v>
      </c>
      <c r="U41" s="5">
        <f t="shared" si="6"/>
        <v>6.4</v>
      </c>
      <c r="W41" s="5">
        <f>D41*($D$29*0.044)</f>
        <v>20.79</v>
      </c>
      <c r="Y41" s="5">
        <f t="shared" si="3"/>
        <v>0.12474</v>
      </c>
      <c r="Z41" s="1"/>
      <c r="AA41" s="5">
        <f t="shared" si="7"/>
        <v>27.314739999999997</v>
      </c>
      <c r="AB41" s="1"/>
      <c r="AF41" s="5"/>
      <c r="AH41" s="5"/>
    </row>
    <row r="42" spans="1:34" ht="15.6" thickTop="1" thickBot="1" x14ac:dyDescent="0.35">
      <c r="B42" t="s">
        <v>47</v>
      </c>
      <c r="D42" s="92">
        <v>74</v>
      </c>
      <c r="E42" s="1" t="s">
        <v>60</v>
      </c>
      <c r="G42" s="91">
        <v>37000</v>
      </c>
      <c r="I42" s="92">
        <v>10</v>
      </c>
      <c r="J42" s="1"/>
      <c r="K42" s="93">
        <v>0.2</v>
      </c>
      <c r="M42" s="5">
        <f t="shared" si="4"/>
        <v>7400</v>
      </c>
      <c r="O42" s="5">
        <f t="shared" si="5"/>
        <v>2960</v>
      </c>
      <c r="Q42" s="94">
        <v>0.8</v>
      </c>
      <c r="S42" s="92">
        <v>300</v>
      </c>
      <c r="U42" s="5">
        <f t="shared" si="6"/>
        <v>7.8933333333333335</v>
      </c>
      <c r="W42" s="5">
        <f>D42*($D$29*0.044)</f>
        <v>14.651999999999999</v>
      </c>
      <c r="Y42" s="5">
        <f t="shared" si="3"/>
        <v>8.7912000000000004E-2</v>
      </c>
      <c r="Z42" s="1"/>
      <c r="AA42" s="5">
        <f t="shared" si="7"/>
        <v>22.633245333333331</v>
      </c>
      <c r="AB42" s="1"/>
      <c r="AF42" s="5"/>
      <c r="AH42" s="5"/>
    </row>
    <row r="43" spans="1:34" ht="15.6" thickTop="1" thickBot="1" x14ac:dyDescent="0.35">
      <c r="B43" t="s">
        <v>7</v>
      </c>
      <c r="D43" s="92">
        <v>8</v>
      </c>
      <c r="E43" s="1" t="s">
        <v>61</v>
      </c>
      <c r="G43" s="91">
        <v>9750</v>
      </c>
      <c r="I43" s="92">
        <v>15</v>
      </c>
      <c r="J43" s="1"/>
      <c r="K43" s="93">
        <v>0.05</v>
      </c>
      <c r="M43" s="5">
        <f t="shared" si="4"/>
        <v>487.5</v>
      </c>
      <c r="O43" s="5">
        <f t="shared" si="5"/>
        <v>617.5</v>
      </c>
      <c r="Q43" s="94">
        <v>1</v>
      </c>
      <c r="S43" s="92">
        <v>250</v>
      </c>
      <c r="U43" s="5">
        <f t="shared" si="6"/>
        <v>2.4700000000000002</v>
      </c>
      <c r="Z43" s="1"/>
      <c r="AA43" s="5">
        <f>$U$43</f>
        <v>2.4700000000000002</v>
      </c>
      <c r="AF43" s="5"/>
    </row>
    <row r="44" spans="1:34" ht="15.6" thickTop="1" thickBot="1" x14ac:dyDescent="0.35">
      <c r="B44" t="s">
        <v>203</v>
      </c>
      <c r="D44" s="92">
        <v>8</v>
      </c>
      <c r="E44" s="1" t="s">
        <v>61</v>
      </c>
      <c r="G44" s="91">
        <v>7800</v>
      </c>
      <c r="I44" s="92">
        <v>15</v>
      </c>
      <c r="J44" s="1"/>
      <c r="K44" s="93">
        <v>0.05</v>
      </c>
      <c r="M44" s="5">
        <f t="shared" si="4"/>
        <v>390</v>
      </c>
      <c r="O44" s="5">
        <f t="shared" si="5"/>
        <v>494</v>
      </c>
      <c r="Q44" s="94">
        <v>1</v>
      </c>
      <c r="S44" s="92">
        <v>400</v>
      </c>
      <c r="U44" s="5">
        <f t="shared" si="6"/>
        <v>1.2350000000000001</v>
      </c>
      <c r="Z44" s="1"/>
      <c r="AA44" s="5">
        <f>$U$44</f>
        <v>1.2350000000000001</v>
      </c>
      <c r="AF44" s="1"/>
      <c r="AH44" s="9"/>
    </row>
    <row r="45" spans="1:34" ht="15.6" thickTop="1" thickBot="1" x14ac:dyDescent="0.35">
      <c r="B45" t="s">
        <v>23</v>
      </c>
      <c r="D45" s="92">
        <v>8</v>
      </c>
      <c r="E45" s="1" t="s">
        <v>61</v>
      </c>
      <c r="G45" s="91">
        <v>3000</v>
      </c>
      <c r="I45" s="92">
        <v>10</v>
      </c>
      <c r="J45" s="1"/>
      <c r="K45" s="93">
        <v>0.05</v>
      </c>
      <c r="M45" s="5">
        <f t="shared" si="4"/>
        <v>150</v>
      </c>
      <c r="O45" s="5">
        <f t="shared" si="5"/>
        <v>285</v>
      </c>
      <c r="Q45" s="94">
        <v>1</v>
      </c>
      <c r="S45" s="92">
        <v>100</v>
      </c>
      <c r="U45" s="5">
        <f t="shared" si="6"/>
        <v>2.85</v>
      </c>
      <c r="AA45" s="5">
        <f>$U$45</f>
        <v>2.85</v>
      </c>
      <c r="AF45" s="2"/>
      <c r="AH45" s="2"/>
    </row>
    <row r="46" spans="1:34" ht="15.6" thickTop="1" thickBot="1" x14ac:dyDescent="0.35">
      <c r="B46" t="s">
        <v>6</v>
      </c>
      <c r="D46" s="92">
        <v>18</v>
      </c>
      <c r="E46" s="1" t="s">
        <v>61</v>
      </c>
      <c r="G46" s="91">
        <v>2000</v>
      </c>
      <c r="I46" s="92">
        <v>20</v>
      </c>
      <c r="K46" s="93">
        <v>0.1</v>
      </c>
      <c r="M46" s="5">
        <f>G46*K46</f>
        <v>200</v>
      </c>
      <c r="O46" s="5">
        <f>(G46-M46)/I46</f>
        <v>90</v>
      </c>
      <c r="Q46" s="94">
        <v>0.8</v>
      </c>
      <c r="S46" s="92">
        <v>100</v>
      </c>
      <c r="U46" s="5">
        <f>(O46*Q46)/S46</f>
        <v>0.72</v>
      </c>
      <c r="Z46" s="1"/>
      <c r="AA46" s="5">
        <f>$U$46</f>
        <v>0.72</v>
      </c>
      <c r="AB46" s="1"/>
      <c r="AF46" s="5"/>
      <c r="AH46" s="5"/>
    </row>
    <row r="47" spans="1:34" ht="15.6" thickTop="1" thickBot="1" x14ac:dyDescent="0.35">
      <c r="B47" t="s">
        <v>5</v>
      </c>
      <c r="D47" s="92">
        <v>20</v>
      </c>
      <c r="E47" s="1" t="s">
        <v>61</v>
      </c>
      <c r="G47" s="91">
        <v>1500</v>
      </c>
      <c r="I47" s="92">
        <v>20</v>
      </c>
      <c r="J47" s="1"/>
      <c r="K47" s="93">
        <v>0.1</v>
      </c>
      <c r="M47" s="5">
        <f>G47*K47</f>
        <v>150</v>
      </c>
      <c r="O47" s="5">
        <f>(G47-M47)/I47</f>
        <v>67.5</v>
      </c>
      <c r="Q47" s="94">
        <v>0.8</v>
      </c>
      <c r="S47" s="92">
        <v>100</v>
      </c>
      <c r="U47" s="5">
        <f>(O47*Q47)/S47</f>
        <v>0.54</v>
      </c>
      <c r="Z47" s="1"/>
      <c r="AA47" s="5">
        <f>$U$47</f>
        <v>0.54</v>
      </c>
      <c r="AB47" s="1"/>
      <c r="AF47" s="5"/>
      <c r="AH47" s="5"/>
    </row>
    <row r="48" spans="1:34" ht="15.6" thickTop="1" thickBot="1" x14ac:dyDescent="0.35">
      <c r="I48" s="2"/>
      <c r="J48" s="2"/>
      <c r="K48" s="2"/>
      <c r="L48" s="2"/>
      <c r="M48" s="2"/>
      <c r="N48" s="2"/>
      <c r="O48" s="2"/>
      <c r="P48" s="2"/>
      <c r="Q48" s="2"/>
      <c r="T48" s="4"/>
      <c r="X48" s="1"/>
      <c r="Y48" s="1"/>
      <c r="Z48" s="1"/>
      <c r="AB48" s="1"/>
      <c r="AF48" s="5"/>
      <c r="AH48" s="5"/>
    </row>
    <row r="49" spans="1:34" ht="15.6" thickTop="1" thickBot="1" x14ac:dyDescent="0.35">
      <c r="A49" s="6"/>
      <c r="D49" s="158" t="s">
        <v>374</v>
      </c>
      <c r="E49" s="159"/>
      <c r="F49" s="159"/>
      <c r="G49" s="160"/>
      <c r="I49" s="2"/>
      <c r="J49" s="2"/>
      <c r="K49" s="2"/>
      <c r="L49" s="2"/>
      <c r="M49" s="2"/>
      <c r="N49" s="2"/>
      <c r="O49" s="2"/>
      <c r="P49" s="2"/>
      <c r="Q49" s="2"/>
      <c r="T49" s="4"/>
      <c r="X49" s="1"/>
      <c r="Y49" s="1"/>
      <c r="Z49" s="1"/>
      <c r="AB49" s="1"/>
      <c r="AF49" s="5"/>
      <c r="AH49" s="5"/>
    </row>
    <row r="50" spans="1:34" ht="15" thickTop="1" x14ac:dyDescent="0.3">
      <c r="B50" s="53" t="s">
        <v>293</v>
      </c>
    </row>
    <row r="51" spans="1:34" x14ac:dyDescent="0.3">
      <c r="B51" t="s">
        <v>369</v>
      </c>
    </row>
    <row r="52" spans="1:34" x14ac:dyDescent="0.3">
      <c r="B52" t="s">
        <v>288</v>
      </c>
    </row>
    <row r="53" spans="1:34" x14ac:dyDescent="0.3">
      <c r="B53" t="s">
        <v>370</v>
      </c>
    </row>
    <row r="54" spans="1:34" x14ac:dyDescent="0.3">
      <c r="B54" t="s">
        <v>371</v>
      </c>
    </row>
    <row r="55" spans="1:34" x14ac:dyDescent="0.3">
      <c r="B55" t="s">
        <v>372</v>
      </c>
    </row>
    <row r="62" spans="1:34" x14ac:dyDescent="0.3">
      <c r="V62" s="6"/>
      <c r="Z62" s="2"/>
      <c r="AF62" s="2"/>
      <c r="AH62" s="2"/>
    </row>
    <row r="63" spans="1:34" x14ac:dyDescent="0.3">
      <c r="X63" s="1"/>
      <c r="Z63" s="3"/>
      <c r="AB63" s="1"/>
      <c r="AF63" s="5"/>
      <c r="AH63" s="5"/>
    </row>
    <row r="64" spans="1:34" x14ac:dyDescent="0.3">
      <c r="X64" s="1"/>
      <c r="Z64" s="3"/>
      <c r="AB64" s="1"/>
      <c r="AF64" s="5"/>
      <c r="AH64" s="5"/>
    </row>
    <row r="65" spans="22:34" x14ac:dyDescent="0.3">
      <c r="X65" s="12"/>
      <c r="Z65" s="1"/>
      <c r="AB65" s="1"/>
      <c r="AF65" s="5"/>
    </row>
    <row r="66" spans="22:34" x14ac:dyDescent="0.3">
      <c r="V66" s="13"/>
      <c r="AH66" s="14"/>
    </row>
    <row r="68" spans="22:34" x14ac:dyDescent="0.3">
      <c r="V68" s="8"/>
      <c r="X68" s="1"/>
      <c r="Y68" s="1"/>
      <c r="Z68" s="1"/>
      <c r="AF68" s="1"/>
      <c r="AH68" s="9"/>
    </row>
    <row r="69" spans="22:34" x14ac:dyDescent="0.3">
      <c r="V69" s="8"/>
      <c r="AH69" s="9"/>
    </row>
  </sheetData>
  <sheetProtection sheet="1" objects="1" scenarios="1" selectLockedCells="1"/>
  <mergeCells count="1">
    <mergeCell ref="D49:G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8A69C-8229-485F-889D-1F3CCAD93A57}">
  <dimension ref="A1:O71"/>
  <sheetViews>
    <sheetView workbookViewId="0">
      <selection activeCell="B1" sqref="B1"/>
    </sheetView>
  </sheetViews>
  <sheetFormatPr defaultRowHeight="14.4" x14ac:dyDescent="0.3"/>
  <cols>
    <col min="7" max="7" width="6.77734375" customWidth="1"/>
  </cols>
  <sheetData>
    <row r="1" spans="1:15" ht="18" x14ac:dyDescent="0.35">
      <c r="A1" s="35" t="s">
        <v>300</v>
      </c>
      <c r="B1" s="110"/>
      <c r="C1" s="25"/>
      <c r="D1" s="25"/>
      <c r="E1" s="25"/>
      <c r="F1" s="25"/>
    </row>
    <row r="2" spans="1:15" x14ac:dyDescent="0.3">
      <c r="B2" s="22" t="s">
        <v>301</v>
      </c>
      <c r="C2" s="25"/>
      <c r="D2" s="25"/>
      <c r="E2" s="25"/>
      <c r="F2" s="25"/>
    </row>
    <row r="3" spans="1:15" x14ac:dyDescent="0.3">
      <c r="A3" s="2" t="s">
        <v>251</v>
      </c>
      <c r="C3" s="25"/>
      <c r="D3" s="25"/>
      <c r="E3" s="25"/>
      <c r="F3" s="25"/>
    </row>
    <row r="4" spans="1:15" x14ac:dyDescent="0.3">
      <c r="A4" s="2">
        <v>1</v>
      </c>
      <c r="B4" s="22" t="s">
        <v>297</v>
      </c>
    </row>
    <row r="5" spans="1:15" x14ac:dyDescent="0.3">
      <c r="A5" s="2"/>
    </row>
    <row r="6" spans="1:15" ht="29.4" thickBot="1" x14ac:dyDescent="0.35">
      <c r="A6" s="2"/>
      <c r="D6" s="38" t="s">
        <v>240</v>
      </c>
      <c r="E6" s="38" t="s">
        <v>90</v>
      </c>
      <c r="F6" s="38" t="s">
        <v>91</v>
      </c>
    </row>
    <row r="7" spans="1:15" ht="15.6" thickTop="1" thickBot="1" x14ac:dyDescent="0.35">
      <c r="B7" s="6" t="s">
        <v>104</v>
      </c>
      <c r="D7" s="95">
        <v>900</v>
      </c>
      <c r="E7" s="95">
        <v>1000</v>
      </c>
      <c r="F7" s="95">
        <v>1200</v>
      </c>
    </row>
    <row r="8" spans="1:15" ht="15" thickTop="1" x14ac:dyDescent="0.3">
      <c r="B8" s="6" t="s">
        <v>438</v>
      </c>
      <c r="D8" s="1"/>
      <c r="E8" s="1"/>
      <c r="F8" s="1"/>
    </row>
    <row r="9" spans="1:15" x14ac:dyDescent="0.3">
      <c r="B9" s="22"/>
      <c r="D9" s="1"/>
      <c r="E9" s="1"/>
      <c r="F9" s="1"/>
    </row>
    <row r="10" spans="1:15" x14ac:dyDescent="0.3">
      <c r="A10" s="2">
        <v>2</v>
      </c>
      <c r="B10" s="22" t="s">
        <v>296</v>
      </c>
      <c r="C10" s="25"/>
      <c r="D10" s="25"/>
      <c r="E10" s="25"/>
      <c r="F10" s="25"/>
    </row>
    <row r="11" spans="1:15" x14ac:dyDescent="0.3">
      <c r="A11" s="2"/>
      <c r="B11" s="22"/>
      <c r="C11" s="25"/>
      <c r="D11" s="25"/>
      <c r="E11" s="25"/>
      <c r="F11" s="25"/>
    </row>
    <row r="12" spans="1:15" x14ac:dyDescent="0.3">
      <c r="B12" s="22"/>
      <c r="C12" s="25"/>
      <c r="D12" s="25"/>
      <c r="E12" s="25"/>
      <c r="F12" s="25"/>
      <c r="H12" s="6" t="s">
        <v>344</v>
      </c>
    </row>
    <row r="13" spans="1:15" ht="29.4" thickBot="1" x14ac:dyDescent="0.35">
      <c r="B13" s="22"/>
      <c r="C13" s="2" t="s">
        <v>92</v>
      </c>
      <c r="D13" s="38" t="s">
        <v>240</v>
      </c>
      <c r="E13" s="38" t="s">
        <v>90</v>
      </c>
      <c r="F13" s="38" t="s">
        <v>91</v>
      </c>
      <c r="H13" s="6" t="s">
        <v>92</v>
      </c>
      <c r="I13" s="6" t="s">
        <v>240</v>
      </c>
      <c r="L13" s="6" t="s">
        <v>90</v>
      </c>
      <c r="N13" s="6" t="s">
        <v>91</v>
      </c>
    </row>
    <row r="14" spans="1:15" ht="15.6" thickTop="1" thickBot="1" x14ac:dyDescent="0.35">
      <c r="C14" s="2">
        <v>1</v>
      </c>
      <c r="D14" s="92">
        <v>100</v>
      </c>
      <c r="E14" s="96">
        <v>10</v>
      </c>
      <c r="F14" s="92">
        <v>0</v>
      </c>
      <c r="H14" t="s">
        <v>93</v>
      </c>
      <c r="I14" s="57" t="s">
        <v>103</v>
      </c>
      <c r="J14" s="57"/>
      <c r="K14" s="57"/>
      <c r="L14" s="57" t="s">
        <v>241</v>
      </c>
      <c r="M14" s="57"/>
      <c r="N14" s="57" t="s">
        <v>381</v>
      </c>
      <c r="O14" s="57"/>
    </row>
    <row r="15" spans="1:15" ht="15.6" thickTop="1" thickBot="1" x14ac:dyDescent="0.35">
      <c r="C15" s="2">
        <v>2</v>
      </c>
      <c r="D15" s="92">
        <v>100</v>
      </c>
      <c r="E15" s="92">
        <v>0</v>
      </c>
      <c r="F15" s="92">
        <v>0</v>
      </c>
      <c r="H15" t="s">
        <v>94</v>
      </c>
      <c r="I15" s="57" t="s">
        <v>345</v>
      </c>
      <c r="J15" s="57"/>
      <c r="K15" s="57"/>
      <c r="L15" s="57" t="s">
        <v>242</v>
      </c>
      <c r="M15" s="57"/>
      <c r="N15" s="57" t="s">
        <v>243</v>
      </c>
      <c r="O15" s="57"/>
    </row>
    <row r="16" spans="1:15" ht="15.6" thickTop="1" thickBot="1" x14ac:dyDescent="0.35">
      <c r="C16" s="2">
        <v>3</v>
      </c>
      <c r="D16" s="92">
        <v>90</v>
      </c>
      <c r="E16" s="92">
        <v>20</v>
      </c>
      <c r="F16" s="92">
        <v>0</v>
      </c>
      <c r="H16" t="s">
        <v>95</v>
      </c>
      <c r="I16" s="57" t="s">
        <v>345</v>
      </c>
      <c r="J16" s="57"/>
      <c r="K16" s="57"/>
      <c r="L16" s="57" t="s">
        <v>96</v>
      </c>
      <c r="M16" s="57"/>
      <c r="N16" s="57" t="s">
        <v>102</v>
      </c>
      <c r="O16" s="57"/>
    </row>
    <row r="17" spans="1:15" ht="15.6" thickTop="1" thickBot="1" x14ac:dyDescent="0.35">
      <c r="C17" s="2">
        <v>4</v>
      </c>
      <c r="D17" s="92">
        <v>90</v>
      </c>
      <c r="E17" s="92">
        <v>50</v>
      </c>
      <c r="F17" s="92">
        <v>20</v>
      </c>
      <c r="H17" t="s">
        <v>97</v>
      </c>
      <c r="I17" s="57" t="s">
        <v>345</v>
      </c>
      <c r="J17" s="57"/>
      <c r="K17" s="57"/>
      <c r="L17" s="57" t="s">
        <v>98</v>
      </c>
      <c r="M17" s="57"/>
      <c r="N17" s="57" t="s">
        <v>99</v>
      </c>
      <c r="O17" s="57"/>
    </row>
    <row r="18" spans="1:15" ht="15.6" thickTop="1" thickBot="1" x14ac:dyDescent="0.35">
      <c r="C18" s="2">
        <v>5</v>
      </c>
      <c r="D18" s="92">
        <v>90</v>
      </c>
      <c r="E18" s="92">
        <v>75</v>
      </c>
      <c r="F18" s="92">
        <v>40</v>
      </c>
      <c r="H18" t="s">
        <v>100</v>
      </c>
      <c r="I18" s="57" t="s">
        <v>345</v>
      </c>
      <c r="J18" s="57"/>
      <c r="K18" s="57"/>
      <c r="L18" s="57" t="s">
        <v>98</v>
      </c>
      <c r="M18" s="57"/>
      <c r="N18" s="57" t="s">
        <v>98</v>
      </c>
      <c r="O18" s="57"/>
    </row>
    <row r="19" spans="1:15" ht="15.6" thickTop="1" thickBot="1" x14ac:dyDescent="0.35">
      <c r="C19" s="2">
        <v>6</v>
      </c>
      <c r="D19" s="92">
        <v>80</v>
      </c>
      <c r="E19" s="92">
        <v>100</v>
      </c>
      <c r="F19" s="92">
        <v>70</v>
      </c>
      <c r="H19" t="s">
        <v>101</v>
      </c>
      <c r="I19" s="57" t="s">
        <v>345</v>
      </c>
      <c r="J19" s="57"/>
      <c r="K19" s="57"/>
      <c r="L19" s="57" t="s">
        <v>103</v>
      </c>
      <c r="M19" s="57"/>
      <c r="N19" s="57" t="s">
        <v>98</v>
      </c>
      <c r="O19" s="57"/>
    </row>
    <row r="20" spans="1:15" ht="15.6" thickTop="1" thickBot="1" x14ac:dyDescent="0.35">
      <c r="C20" s="2">
        <v>7</v>
      </c>
      <c r="D20" s="92">
        <v>80</v>
      </c>
      <c r="E20" s="92">
        <v>100</v>
      </c>
      <c r="F20" s="92">
        <v>100</v>
      </c>
      <c r="H20" t="s">
        <v>171</v>
      </c>
      <c r="I20" s="57" t="s">
        <v>345</v>
      </c>
      <c r="J20" s="57"/>
      <c r="K20" s="57"/>
      <c r="L20" s="57" t="s">
        <v>103</v>
      </c>
      <c r="M20" s="57"/>
      <c r="N20" s="57" t="s">
        <v>103</v>
      </c>
      <c r="O20" s="57"/>
    </row>
    <row r="21" spans="1:15" ht="15.6" thickTop="1" thickBot="1" x14ac:dyDescent="0.35">
      <c r="C21" s="2">
        <v>8</v>
      </c>
      <c r="D21" s="92">
        <v>80</v>
      </c>
      <c r="E21" s="92">
        <v>100</v>
      </c>
      <c r="F21" s="92">
        <v>100</v>
      </c>
    </row>
    <row r="22" spans="1:15" ht="15.6" thickTop="1" thickBot="1" x14ac:dyDescent="0.35">
      <c r="C22" s="2">
        <v>9</v>
      </c>
      <c r="D22" s="92">
        <v>70</v>
      </c>
      <c r="E22" s="92">
        <v>100</v>
      </c>
      <c r="F22" s="92">
        <v>100</v>
      </c>
    </row>
    <row r="23" spans="1:15" ht="15.6" thickTop="1" thickBot="1" x14ac:dyDescent="0.35">
      <c r="C23" s="2">
        <v>10</v>
      </c>
      <c r="D23" s="92">
        <v>70</v>
      </c>
      <c r="E23" s="92">
        <v>100</v>
      </c>
      <c r="F23" s="92">
        <v>100</v>
      </c>
    </row>
    <row r="24" spans="1:15" ht="15" thickTop="1" x14ac:dyDescent="0.3"/>
    <row r="25" spans="1:15" x14ac:dyDescent="0.3">
      <c r="D25" s="59" t="s">
        <v>346</v>
      </c>
    </row>
    <row r="26" spans="1:15" x14ac:dyDescent="0.3">
      <c r="D26" s="58" t="str">
        <f>IF(E14&gt;0,"===&gt;  You are planning to crop the nurse limb","===&gt;  You are not planning to crop the nurse limb")</f>
        <v>===&gt;  You are planning to crop the nurse limb</v>
      </c>
    </row>
    <row r="28" spans="1:15" x14ac:dyDescent="0.3">
      <c r="A28" s="2">
        <v>3</v>
      </c>
      <c r="B28" s="22" t="s">
        <v>298</v>
      </c>
      <c r="C28" s="25"/>
      <c r="D28" s="25"/>
      <c r="E28" s="25"/>
      <c r="F28" s="25"/>
    </row>
    <row r="29" spans="1:15" ht="15" thickBot="1" x14ac:dyDescent="0.35"/>
    <row r="30" spans="1:15" ht="15.6" thickTop="1" thickBot="1" x14ac:dyDescent="0.35">
      <c r="B30" s="6" t="s">
        <v>216</v>
      </c>
      <c r="D30" s="91">
        <v>10</v>
      </c>
      <c r="E30" s="91">
        <v>30</v>
      </c>
      <c r="F30" s="91">
        <v>30</v>
      </c>
    </row>
    <row r="31" spans="1:15" ht="15" thickTop="1" x14ac:dyDescent="0.3">
      <c r="B31" s="6" t="s">
        <v>215</v>
      </c>
      <c r="D31" s="39"/>
      <c r="E31" s="39"/>
      <c r="F31" s="39"/>
    </row>
    <row r="32" spans="1:15" ht="15" thickBot="1" x14ac:dyDescent="0.35"/>
    <row r="33" spans="1:6" ht="15.6" thickTop="1" thickBot="1" x14ac:dyDescent="0.35">
      <c r="A33" s="6"/>
      <c r="D33" s="158" t="s">
        <v>374</v>
      </c>
      <c r="E33" s="161"/>
      <c r="F33" s="160"/>
    </row>
    <row r="34" spans="1:6" ht="15" thickTop="1" x14ac:dyDescent="0.3"/>
    <row r="36" spans="1:6" x14ac:dyDescent="0.3">
      <c r="A36" s="6" t="s">
        <v>299</v>
      </c>
    </row>
    <row r="37" spans="1:6" x14ac:dyDescent="0.3">
      <c r="B37" s="6" t="s">
        <v>105</v>
      </c>
    </row>
    <row r="38" spans="1:6" ht="28.8" x14ac:dyDescent="0.3">
      <c r="C38" s="1" t="s">
        <v>92</v>
      </c>
      <c r="D38" s="38" t="s">
        <v>240</v>
      </c>
      <c r="E38" s="38" t="s">
        <v>90</v>
      </c>
      <c r="F38" s="38" t="s">
        <v>91</v>
      </c>
    </row>
    <row r="39" spans="1:6" x14ac:dyDescent="0.3">
      <c r="C39" s="1">
        <v>1</v>
      </c>
      <c r="D39" s="39">
        <f t="shared" ref="D39:F48" si="0">D14/100*D$7</f>
        <v>900</v>
      </c>
      <c r="E39" s="39">
        <f t="shared" si="0"/>
        <v>100</v>
      </c>
      <c r="F39" s="39">
        <f t="shared" si="0"/>
        <v>0</v>
      </c>
    </row>
    <row r="40" spans="1:6" x14ac:dyDescent="0.3">
      <c r="C40" s="1">
        <v>2</v>
      </c>
      <c r="D40" s="39">
        <f t="shared" si="0"/>
        <v>900</v>
      </c>
      <c r="E40" s="39">
        <f t="shared" si="0"/>
        <v>0</v>
      </c>
      <c r="F40" s="39">
        <f t="shared" si="0"/>
        <v>0</v>
      </c>
    </row>
    <row r="41" spans="1:6" x14ac:dyDescent="0.3">
      <c r="C41" s="1">
        <v>3</v>
      </c>
      <c r="D41" s="39">
        <f t="shared" si="0"/>
        <v>810</v>
      </c>
      <c r="E41" s="39">
        <f t="shared" si="0"/>
        <v>200</v>
      </c>
      <c r="F41" s="39">
        <f t="shared" si="0"/>
        <v>0</v>
      </c>
    </row>
    <row r="42" spans="1:6" x14ac:dyDescent="0.3">
      <c r="C42" s="1">
        <v>4</v>
      </c>
      <c r="D42" s="39">
        <f t="shared" si="0"/>
        <v>810</v>
      </c>
      <c r="E42" s="39">
        <f t="shared" si="0"/>
        <v>500</v>
      </c>
      <c r="F42" s="39">
        <f t="shared" si="0"/>
        <v>240</v>
      </c>
    </row>
    <row r="43" spans="1:6" x14ac:dyDescent="0.3">
      <c r="C43" s="1">
        <v>5</v>
      </c>
      <c r="D43" s="39">
        <f t="shared" si="0"/>
        <v>810</v>
      </c>
      <c r="E43" s="39">
        <f t="shared" si="0"/>
        <v>750</v>
      </c>
      <c r="F43" s="39">
        <f t="shared" si="0"/>
        <v>480</v>
      </c>
    </row>
    <row r="44" spans="1:6" x14ac:dyDescent="0.3">
      <c r="C44" s="1">
        <v>6</v>
      </c>
      <c r="D44" s="39">
        <f t="shared" si="0"/>
        <v>720</v>
      </c>
      <c r="E44" s="39">
        <f t="shared" si="0"/>
        <v>1000</v>
      </c>
      <c r="F44" s="39">
        <f t="shared" si="0"/>
        <v>840</v>
      </c>
    </row>
    <row r="45" spans="1:6" x14ac:dyDescent="0.3">
      <c r="C45" s="1">
        <v>7</v>
      </c>
      <c r="D45" s="39">
        <f t="shared" si="0"/>
        <v>720</v>
      </c>
      <c r="E45" s="39">
        <f t="shared" si="0"/>
        <v>1000</v>
      </c>
      <c r="F45" s="39">
        <f t="shared" si="0"/>
        <v>1200</v>
      </c>
    </row>
    <row r="46" spans="1:6" x14ac:dyDescent="0.3">
      <c r="C46" s="1">
        <v>8</v>
      </c>
      <c r="D46" s="39">
        <f t="shared" si="0"/>
        <v>720</v>
      </c>
      <c r="E46" s="39">
        <f t="shared" si="0"/>
        <v>1000</v>
      </c>
      <c r="F46" s="39">
        <f t="shared" si="0"/>
        <v>1200</v>
      </c>
    </row>
    <row r="47" spans="1:6" x14ac:dyDescent="0.3">
      <c r="C47" s="1">
        <v>9</v>
      </c>
      <c r="D47" s="39">
        <f t="shared" si="0"/>
        <v>630</v>
      </c>
      <c r="E47" s="39">
        <f t="shared" si="0"/>
        <v>1000</v>
      </c>
      <c r="F47" s="39">
        <f t="shared" si="0"/>
        <v>1200</v>
      </c>
    </row>
    <row r="48" spans="1:6" x14ac:dyDescent="0.3">
      <c r="C48" s="1" t="s">
        <v>378</v>
      </c>
      <c r="D48" s="39">
        <f t="shared" si="0"/>
        <v>630</v>
      </c>
      <c r="E48" s="39">
        <f t="shared" si="0"/>
        <v>1000</v>
      </c>
      <c r="F48" s="39">
        <f t="shared" si="0"/>
        <v>1200</v>
      </c>
    </row>
    <row r="49" spans="2:6" x14ac:dyDescent="0.3">
      <c r="D49" s="39"/>
      <c r="E49" s="39"/>
      <c r="F49" s="39"/>
    </row>
    <row r="50" spans="2:6" x14ac:dyDescent="0.3">
      <c r="B50" s="6" t="s">
        <v>237</v>
      </c>
      <c r="D50" s="39"/>
      <c r="E50" s="39"/>
      <c r="F50" s="39"/>
    </row>
    <row r="51" spans="2:6" ht="28.8" x14ac:dyDescent="0.3">
      <c r="C51" s="1" t="s">
        <v>92</v>
      </c>
      <c r="D51" s="38" t="s">
        <v>240</v>
      </c>
      <c r="E51" s="55" t="s">
        <v>90</v>
      </c>
      <c r="F51" s="55" t="s">
        <v>91</v>
      </c>
    </row>
    <row r="52" spans="2:6" x14ac:dyDescent="0.3">
      <c r="C52" s="1">
        <v>1</v>
      </c>
      <c r="D52" s="31">
        <f t="shared" ref="D52:D61" si="1">D39*D$30</f>
        <v>9000</v>
      </c>
      <c r="E52" s="31">
        <f>E39*D$30</f>
        <v>1000</v>
      </c>
      <c r="F52" s="31">
        <f t="shared" ref="F52:F61" si="2">F39*F$30</f>
        <v>0</v>
      </c>
    </row>
    <row r="53" spans="2:6" x14ac:dyDescent="0.3">
      <c r="C53" s="1">
        <v>2</v>
      </c>
      <c r="D53" s="31">
        <f t="shared" si="1"/>
        <v>9000</v>
      </c>
      <c r="E53" s="31">
        <f t="shared" ref="E53:E61" si="3">E40*E$30</f>
        <v>0</v>
      </c>
      <c r="F53" s="31">
        <f t="shared" si="2"/>
        <v>0</v>
      </c>
    </row>
    <row r="54" spans="2:6" x14ac:dyDescent="0.3">
      <c r="C54" s="1">
        <v>3</v>
      </c>
      <c r="D54" s="31">
        <f t="shared" si="1"/>
        <v>8100</v>
      </c>
      <c r="E54" s="31">
        <f t="shared" si="3"/>
        <v>6000</v>
      </c>
      <c r="F54" s="31">
        <f t="shared" si="2"/>
        <v>0</v>
      </c>
    </row>
    <row r="55" spans="2:6" x14ac:dyDescent="0.3">
      <c r="C55" s="1">
        <v>4</v>
      </c>
      <c r="D55" s="31">
        <f t="shared" si="1"/>
        <v>8100</v>
      </c>
      <c r="E55" s="31">
        <f t="shared" si="3"/>
        <v>15000</v>
      </c>
      <c r="F55" s="31">
        <f t="shared" si="2"/>
        <v>7200</v>
      </c>
    </row>
    <row r="56" spans="2:6" x14ac:dyDescent="0.3">
      <c r="C56" s="1">
        <v>5</v>
      </c>
      <c r="D56" s="31">
        <f t="shared" si="1"/>
        <v>8100</v>
      </c>
      <c r="E56" s="31">
        <f t="shared" si="3"/>
        <v>22500</v>
      </c>
      <c r="F56" s="31">
        <f t="shared" si="2"/>
        <v>14400</v>
      </c>
    </row>
    <row r="57" spans="2:6" x14ac:dyDescent="0.3">
      <c r="C57" s="1">
        <v>6</v>
      </c>
      <c r="D57" s="31">
        <f t="shared" si="1"/>
        <v>7200</v>
      </c>
      <c r="E57" s="31">
        <f t="shared" si="3"/>
        <v>30000</v>
      </c>
      <c r="F57" s="31">
        <f t="shared" si="2"/>
        <v>25200</v>
      </c>
    </row>
    <row r="58" spans="2:6" x14ac:dyDescent="0.3">
      <c r="C58" s="1">
        <v>7</v>
      </c>
      <c r="D58" s="31">
        <f t="shared" si="1"/>
        <v>7200</v>
      </c>
      <c r="E58" s="31">
        <f t="shared" si="3"/>
        <v>30000</v>
      </c>
      <c r="F58" s="31">
        <f t="shared" si="2"/>
        <v>36000</v>
      </c>
    </row>
    <row r="59" spans="2:6" x14ac:dyDescent="0.3">
      <c r="C59" s="1">
        <v>8</v>
      </c>
      <c r="D59" s="31">
        <f t="shared" si="1"/>
        <v>7200</v>
      </c>
      <c r="E59" s="31">
        <f t="shared" si="3"/>
        <v>30000</v>
      </c>
      <c r="F59" s="31">
        <f t="shared" si="2"/>
        <v>36000</v>
      </c>
    </row>
    <row r="60" spans="2:6" x14ac:dyDescent="0.3">
      <c r="C60" s="1">
        <v>9</v>
      </c>
      <c r="D60" s="31">
        <f t="shared" si="1"/>
        <v>6300</v>
      </c>
      <c r="E60" s="31">
        <f t="shared" si="3"/>
        <v>30000</v>
      </c>
      <c r="F60" s="31">
        <f t="shared" si="2"/>
        <v>36000</v>
      </c>
    </row>
    <row r="61" spans="2:6" x14ac:dyDescent="0.3">
      <c r="C61" s="1" t="s">
        <v>378</v>
      </c>
      <c r="D61" s="31">
        <f t="shared" si="1"/>
        <v>6300</v>
      </c>
      <c r="E61" s="31">
        <f t="shared" si="3"/>
        <v>30000</v>
      </c>
      <c r="F61" s="31">
        <f t="shared" si="2"/>
        <v>36000</v>
      </c>
    </row>
    <row r="62" spans="2:6" x14ac:dyDescent="0.3">
      <c r="C62" s="1"/>
      <c r="D62" s="31"/>
      <c r="E62" s="31"/>
      <c r="F62" s="31"/>
    </row>
    <row r="63" spans="2:6" x14ac:dyDescent="0.3">
      <c r="C63" s="1"/>
      <c r="D63" s="31"/>
      <c r="E63" s="31"/>
      <c r="F63" s="31"/>
    </row>
    <row r="64" spans="2:6" x14ac:dyDescent="0.3">
      <c r="C64" s="1"/>
      <c r="D64" s="31"/>
      <c r="E64" s="31"/>
      <c r="F64" s="31"/>
    </row>
    <row r="65" spans="3:6" x14ac:dyDescent="0.3">
      <c r="C65" s="1"/>
      <c r="D65" s="31"/>
      <c r="E65" s="31"/>
      <c r="F65" s="31"/>
    </row>
    <row r="66" spans="3:6" x14ac:dyDescent="0.3">
      <c r="C66" s="1"/>
      <c r="D66" s="31"/>
      <c r="E66" s="31"/>
      <c r="F66" s="31"/>
    </row>
    <row r="67" spans="3:6" x14ac:dyDescent="0.3">
      <c r="C67" s="1"/>
      <c r="D67" s="31"/>
      <c r="E67" s="31"/>
      <c r="F67" s="31"/>
    </row>
    <row r="68" spans="3:6" x14ac:dyDescent="0.3">
      <c r="C68" s="1"/>
      <c r="D68" s="31"/>
      <c r="E68" s="31"/>
      <c r="F68" s="31"/>
    </row>
    <row r="69" spans="3:6" x14ac:dyDescent="0.3">
      <c r="C69" s="1"/>
      <c r="D69" s="31"/>
      <c r="E69" s="31"/>
      <c r="F69" s="31"/>
    </row>
    <row r="70" spans="3:6" x14ac:dyDescent="0.3">
      <c r="C70" s="1"/>
      <c r="D70" s="31"/>
      <c r="E70" s="31"/>
      <c r="F70" s="31"/>
    </row>
    <row r="71" spans="3:6" x14ac:dyDescent="0.3">
      <c r="C71" s="1"/>
      <c r="D71" s="31"/>
      <c r="E71" s="31"/>
      <c r="F71" s="31"/>
    </row>
  </sheetData>
  <sheetProtection sheet="1" objects="1" scenarios="1" selectLockedCells="1"/>
  <mergeCells count="1">
    <mergeCell ref="D33:F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A3CE6-B8C8-4D45-9AB8-2C71B0E061D5}">
  <dimension ref="A1:P98"/>
  <sheetViews>
    <sheetView topLeftCell="B1" workbookViewId="0">
      <selection activeCell="C1" sqref="C1"/>
    </sheetView>
  </sheetViews>
  <sheetFormatPr defaultRowHeight="14.4" x14ac:dyDescent="0.3"/>
  <cols>
    <col min="3" max="3" width="35.88671875" customWidth="1"/>
    <col min="4" max="6" width="10.6640625" customWidth="1"/>
    <col min="7" max="7" width="6.77734375" customWidth="1"/>
    <col min="8" max="8" width="10.6640625" customWidth="1"/>
    <col min="9" max="9" width="6.77734375" customWidth="1"/>
  </cols>
  <sheetData>
    <row r="1" spans="2:4" ht="18" x14ac:dyDescent="0.35">
      <c r="B1" s="35" t="s">
        <v>447</v>
      </c>
      <c r="C1" s="109"/>
    </row>
    <row r="2" spans="2:4" ht="18" x14ac:dyDescent="0.35">
      <c r="C2" s="22" t="s">
        <v>316</v>
      </c>
      <c r="D2" s="15"/>
    </row>
    <row r="3" spans="2:4" x14ac:dyDescent="0.3">
      <c r="B3" s="2" t="s">
        <v>251</v>
      </c>
    </row>
    <row r="4" spans="2:4" x14ac:dyDescent="0.3">
      <c r="B4" s="2">
        <v>1</v>
      </c>
      <c r="C4" s="22" t="s">
        <v>320</v>
      </c>
    </row>
    <row r="5" spans="2:4" ht="15" thickBot="1" x14ac:dyDescent="0.35">
      <c r="D5" s="2"/>
    </row>
    <row r="6" spans="2:4" ht="15" thickBot="1" x14ac:dyDescent="0.35">
      <c r="C6" s="7" t="s">
        <v>321</v>
      </c>
      <c r="D6" s="97">
        <v>272</v>
      </c>
    </row>
    <row r="7" spans="2:4" x14ac:dyDescent="0.3">
      <c r="D7" s="24"/>
    </row>
    <row r="8" spans="2:4" x14ac:dyDescent="0.3">
      <c r="B8" s="2">
        <v>2</v>
      </c>
      <c r="C8" s="22" t="s">
        <v>318</v>
      </c>
      <c r="D8" s="24"/>
    </row>
    <row r="9" spans="2:4" ht="15" thickBot="1" x14ac:dyDescent="0.35">
      <c r="D9" s="24"/>
    </row>
    <row r="10" spans="2:4" ht="15" thickBot="1" x14ac:dyDescent="0.35">
      <c r="C10" s="7" t="s">
        <v>319</v>
      </c>
      <c r="D10" s="97">
        <v>4</v>
      </c>
    </row>
    <row r="11" spans="2:4" x14ac:dyDescent="0.3">
      <c r="D11" s="24"/>
    </row>
    <row r="12" spans="2:4" x14ac:dyDescent="0.3">
      <c r="B12" s="2">
        <v>3</v>
      </c>
      <c r="C12" s="22" t="s">
        <v>325</v>
      </c>
      <c r="D12" s="24"/>
    </row>
    <row r="13" spans="2:4" ht="15" thickBot="1" x14ac:dyDescent="0.35">
      <c r="D13" s="24"/>
    </row>
    <row r="14" spans="2:4" ht="15" thickBot="1" x14ac:dyDescent="0.35">
      <c r="C14" s="7" t="s">
        <v>317</v>
      </c>
      <c r="D14" s="79">
        <v>3</v>
      </c>
    </row>
    <row r="15" spans="2:4" x14ac:dyDescent="0.3">
      <c r="C15" s="7"/>
      <c r="D15" s="24"/>
    </row>
    <row r="16" spans="2:4" x14ac:dyDescent="0.3">
      <c r="C16" s="7" t="s">
        <v>68</v>
      </c>
      <c r="D16" s="2">
        <f>INT((D6*D10)/D14)+1</f>
        <v>363</v>
      </c>
    </row>
    <row r="17" spans="2:14" x14ac:dyDescent="0.3">
      <c r="C17" s="7"/>
      <c r="D17" s="27"/>
    </row>
    <row r="18" spans="2:14" x14ac:dyDescent="0.3">
      <c r="B18" s="2">
        <v>4</v>
      </c>
      <c r="C18" s="22" t="s">
        <v>324</v>
      </c>
      <c r="D18" s="2"/>
    </row>
    <row r="19" spans="2:14" ht="15" thickBot="1" x14ac:dyDescent="0.35">
      <c r="B19" s="2"/>
      <c r="C19" s="22"/>
      <c r="D19" s="2"/>
    </row>
    <row r="20" spans="2:14" ht="15" thickBot="1" x14ac:dyDescent="0.35">
      <c r="C20" s="2" t="s">
        <v>197</v>
      </c>
      <c r="D20" s="79" t="s">
        <v>8</v>
      </c>
    </row>
    <row r="21" spans="2:14" ht="15" thickBot="1" x14ac:dyDescent="0.35">
      <c r="C21" s="2" t="s">
        <v>74</v>
      </c>
      <c r="D21" s="2" t="s">
        <v>74</v>
      </c>
      <c r="E21" s="52" t="str">
        <f>IF(D20=D22,"ERROR--choose only one","")</f>
        <v/>
      </c>
    </row>
    <row r="22" spans="2:14" ht="15" thickBot="1" x14ac:dyDescent="0.35">
      <c r="C22" s="2" t="s">
        <v>196</v>
      </c>
      <c r="D22" s="79"/>
    </row>
    <row r="23" spans="2:14" ht="15" thickBot="1" x14ac:dyDescent="0.35"/>
    <row r="24" spans="2:14" ht="15" thickBot="1" x14ac:dyDescent="0.35">
      <c r="C24" s="17" t="s">
        <v>308</v>
      </c>
      <c r="D24" s="98">
        <v>0.7</v>
      </c>
      <c r="H24" s="17"/>
    </row>
    <row r="25" spans="2:14" x14ac:dyDescent="0.3">
      <c r="D25" s="8" t="str">
        <f>IF(D22="X","If purchasing budwood skip, to step 5)","")</f>
        <v/>
      </c>
      <c r="H25" s="17"/>
    </row>
    <row r="26" spans="2:14" x14ac:dyDescent="0.3">
      <c r="H26" s="17"/>
    </row>
    <row r="27" spans="2:14" x14ac:dyDescent="0.3">
      <c r="B27" s="2">
        <v>5</v>
      </c>
      <c r="C27" s="22" t="s">
        <v>329</v>
      </c>
    </row>
    <row r="29" spans="2:14" x14ac:dyDescent="0.3">
      <c r="C29" s="30" t="s">
        <v>322</v>
      </c>
    </row>
    <row r="30" spans="2:14" x14ac:dyDescent="0.3">
      <c r="N30" s="25"/>
    </row>
    <row r="31" spans="2:14" x14ac:dyDescent="0.3">
      <c r="C31" s="6" t="s">
        <v>209</v>
      </c>
      <c r="D31" s="7" t="s">
        <v>270</v>
      </c>
      <c r="H31" s="2"/>
      <c r="N31" s="25"/>
    </row>
    <row r="32" spans="2:14" x14ac:dyDescent="0.3">
      <c r="D32" s="18" t="s">
        <v>76</v>
      </c>
      <c r="E32" s="19"/>
      <c r="G32" s="18"/>
      <c r="H32" s="2"/>
      <c r="N32" s="25"/>
    </row>
    <row r="33" spans="1:16" ht="15" thickBot="1" x14ac:dyDescent="0.35">
      <c r="D33" s="18"/>
      <c r="E33" s="18"/>
      <c r="F33" s="18"/>
      <c r="G33" s="18"/>
      <c r="H33" s="30"/>
      <c r="J33" s="49"/>
    </row>
    <row r="34" spans="1:16" x14ac:dyDescent="0.3">
      <c r="C34" t="s">
        <v>48</v>
      </c>
      <c r="D34" s="99">
        <v>1</v>
      </c>
      <c r="E34" s="19"/>
      <c r="G34" s="18"/>
      <c r="H34" s="31"/>
      <c r="J34" s="50"/>
      <c r="K34" s="25"/>
      <c r="P34" s="31"/>
    </row>
    <row r="35" spans="1:16" x14ac:dyDescent="0.3">
      <c r="C35" t="s">
        <v>9</v>
      </c>
      <c r="D35" s="100">
        <v>0</v>
      </c>
      <c r="E35" s="19"/>
      <c r="H35" s="31"/>
      <c r="J35" s="50"/>
      <c r="K35" s="25"/>
    </row>
    <row r="36" spans="1:16" ht="15" thickBot="1" x14ac:dyDescent="0.35">
      <c r="C36" t="s">
        <v>195</v>
      </c>
      <c r="D36" s="101">
        <v>10</v>
      </c>
      <c r="E36" s="19"/>
      <c r="H36" s="31"/>
      <c r="J36" s="50"/>
      <c r="K36" s="25"/>
    </row>
    <row r="37" spans="1:16" x14ac:dyDescent="0.3">
      <c r="J37" s="50"/>
    </row>
    <row r="38" spans="1:16" x14ac:dyDescent="0.3">
      <c r="C38" s="6" t="s">
        <v>212</v>
      </c>
      <c r="D38" s="29">
        <f>IF(D20="X",D34*Parameters!D11+'Grafting Prep'!D35*Parameters!D12+'Grafting Prep'!D36*Parameters!D13,0)</f>
        <v>205</v>
      </c>
      <c r="J38" s="50"/>
    </row>
    <row r="39" spans="1:16" x14ac:dyDescent="0.3">
      <c r="J39" s="50"/>
    </row>
    <row r="40" spans="1:16" x14ac:dyDescent="0.3">
      <c r="B40" s="2">
        <v>5</v>
      </c>
      <c r="C40" s="22" t="s">
        <v>310</v>
      </c>
    </row>
    <row r="41" spans="1:16" ht="15" thickBot="1" x14ac:dyDescent="0.35">
      <c r="A41" t="s">
        <v>67</v>
      </c>
    </row>
    <row r="42" spans="1:16" ht="15" thickBot="1" x14ac:dyDescent="0.35">
      <c r="A42" s="26" t="s">
        <v>8</v>
      </c>
      <c r="B42" s="22"/>
      <c r="C42" s="6" t="s">
        <v>82</v>
      </c>
      <c r="D42" s="98">
        <v>1.5</v>
      </c>
      <c r="J42" s="50"/>
    </row>
    <row r="43" spans="1:16" x14ac:dyDescent="0.3">
      <c r="A43" s="26" t="e">
        <f>IF(Parameters!#REF!="x",Parameters!A38,"n/a")</f>
        <v>#REF!</v>
      </c>
      <c r="D43" s="2"/>
      <c r="J43" s="50"/>
    </row>
    <row r="44" spans="1:16" x14ac:dyDescent="0.3">
      <c r="A44" s="26" t="e">
        <f>IF(Parameters!#REF!="x",Parameters!A39,"n/a")</f>
        <v>#REF!</v>
      </c>
      <c r="B44" s="2">
        <v>6</v>
      </c>
      <c r="C44" s="22" t="s">
        <v>311</v>
      </c>
    </row>
    <row r="45" spans="1:16" ht="15" thickBot="1" x14ac:dyDescent="0.35">
      <c r="A45" s="26" t="e">
        <f>IF(Parameters!#REF!="x",Parameters!A40,"n/a")</f>
        <v>#REF!</v>
      </c>
    </row>
    <row r="46" spans="1:16" ht="15" thickBot="1" x14ac:dyDescent="0.35">
      <c r="A46" s="26" t="e">
        <f>IF(Parameters!#REF!="x",Parameters!A41,"n/a")</f>
        <v>#REF!</v>
      </c>
      <c r="C46" s="6" t="s">
        <v>213</v>
      </c>
      <c r="D46" s="98">
        <v>50</v>
      </c>
    </row>
    <row r="47" spans="1:16" x14ac:dyDescent="0.3">
      <c r="A47" s="26" t="e">
        <f>IF(Parameters!#REF!="x",Parameters!A42,"n/a")</f>
        <v>#REF!</v>
      </c>
    </row>
    <row r="48" spans="1:16" x14ac:dyDescent="0.3">
      <c r="A48" s="26" t="e">
        <f>IF(Parameters!#REF!="x",Parameters!#REF!,"n/a")</f>
        <v>#REF!</v>
      </c>
      <c r="C48" s="7" t="s">
        <v>70</v>
      </c>
      <c r="D48" s="29">
        <f>IF(D22="x",(D24+D42)*D6+D46,D38+D6*D42+D46)</f>
        <v>663</v>
      </c>
      <c r="G48" s="8" t="s">
        <v>312</v>
      </c>
      <c r="H48" s="10">
        <f>D48/D6</f>
        <v>2.4375</v>
      </c>
      <c r="J48" s="50"/>
    </row>
    <row r="49" spans="1:10" x14ac:dyDescent="0.3">
      <c r="A49" s="26" t="e">
        <f>IF(Parameters!#REF!="x",Parameters!#REF!,"n/a")</f>
        <v>#REF!</v>
      </c>
      <c r="J49" s="50"/>
    </row>
    <row r="50" spans="1:10" x14ac:dyDescent="0.3">
      <c r="A50" s="26" t="e">
        <f>IF(Parameters!#REF!="x",Parameters!#REF!,"n/a")</f>
        <v>#REF!</v>
      </c>
      <c r="B50" s="2">
        <v>7</v>
      </c>
      <c r="C50" s="22" t="s">
        <v>313</v>
      </c>
      <c r="J50" s="50"/>
    </row>
    <row r="51" spans="1:10" x14ac:dyDescent="0.3">
      <c r="A51" s="26" t="e">
        <f>IF(Parameters!#REF!="x",Parameters!A47,"n/a")</f>
        <v>#REF!</v>
      </c>
      <c r="D51" s="2"/>
      <c r="J51" s="50"/>
    </row>
    <row r="52" spans="1:10" x14ac:dyDescent="0.3">
      <c r="A52" s="26" t="e">
        <f>IF(Parameters!#REF!="x",Parameters!A46,"n/a")</f>
        <v>#REF!</v>
      </c>
      <c r="D52" s="27"/>
      <c r="J52" s="51"/>
    </row>
    <row r="53" spans="1:10" x14ac:dyDescent="0.3">
      <c r="A53" s="26" t="e">
        <f>IF(Parameters!#REF!="x",Parameters!A43,"n/a")</f>
        <v>#REF!</v>
      </c>
      <c r="C53" s="6" t="s">
        <v>198</v>
      </c>
      <c r="D53" s="7" t="s">
        <v>72</v>
      </c>
      <c r="F53" s="7" t="s">
        <v>75</v>
      </c>
      <c r="H53" s="2" t="s">
        <v>79</v>
      </c>
      <c r="J53" s="50"/>
    </row>
    <row r="54" spans="1:10" x14ac:dyDescent="0.3">
      <c r="A54" s="26" t="e">
        <f>IF(Parameters!#REF!="x",Parameters!A44,"n/a")</f>
        <v>#REF!</v>
      </c>
      <c r="D54" s="28" t="s">
        <v>73</v>
      </c>
      <c r="E54" s="19"/>
      <c r="F54" s="18" t="s">
        <v>76</v>
      </c>
      <c r="G54" s="18"/>
      <c r="H54" s="30" t="s">
        <v>80</v>
      </c>
      <c r="J54" s="50" t="s">
        <v>252</v>
      </c>
    </row>
    <row r="55" spans="1:10" ht="15" thickBot="1" x14ac:dyDescent="0.35">
      <c r="A55" s="26" t="e">
        <f>IF(Parameters!#REF!="x",Parameters!#REF!,"n/a")</f>
        <v>#REF!</v>
      </c>
      <c r="D55" s="18"/>
      <c r="E55" s="18"/>
      <c r="F55" s="18"/>
      <c r="G55" s="18"/>
      <c r="H55" s="30"/>
      <c r="J55" s="50"/>
    </row>
    <row r="56" spans="1:10" x14ac:dyDescent="0.3">
      <c r="A56" s="26" t="e">
        <f>IF(Parameters!#REF!="x",Parameters!A45,"n/a")</f>
        <v>#REF!</v>
      </c>
      <c r="C56" t="s">
        <v>48</v>
      </c>
      <c r="D56" s="102">
        <v>0</v>
      </c>
      <c r="E56" s="19" t="s">
        <v>83</v>
      </c>
      <c r="F56" s="99">
        <v>4</v>
      </c>
      <c r="G56" s="18"/>
      <c r="H56" s="36">
        <f>D56*D$6/60+F56</f>
        <v>4</v>
      </c>
      <c r="J56" s="50" t="s">
        <v>262</v>
      </c>
    </row>
    <row r="57" spans="1:10" x14ac:dyDescent="0.3">
      <c r="C57" t="s">
        <v>9</v>
      </c>
      <c r="D57" s="103">
        <v>0</v>
      </c>
      <c r="E57" s="19" t="s">
        <v>83</v>
      </c>
      <c r="F57" s="100">
        <v>0</v>
      </c>
      <c r="H57" s="36">
        <f>D57*D$6/60+F57</f>
        <v>0</v>
      </c>
      <c r="J57" s="50" t="s">
        <v>260</v>
      </c>
    </row>
    <row r="58" spans="1:10" ht="15" thickBot="1" x14ac:dyDescent="0.35">
      <c r="C58" t="s">
        <v>195</v>
      </c>
      <c r="D58" s="104">
        <v>12</v>
      </c>
      <c r="E58" s="19" t="s">
        <v>83</v>
      </c>
      <c r="F58" s="101">
        <v>0</v>
      </c>
      <c r="H58" s="36">
        <f>D58*D$6/60+F58</f>
        <v>54.4</v>
      </c>
      <c r="J58" s="51" t="s">
        <v>267</v>
      </c>
    </row>
    <row r="59" spans="1:10" x14ac:dyDescent="0.3">
      <c r="D59" s="2"/>
      <c r="J59" s="50"/>
    </row>
    <row r="60" spans="1:10" x14ac:dyDescent="0.3">
      <c r="C60" s="6" t="s">
        <v>211</v>
      </c>
      <c r="D60" s="29">
        <f>(H56*Parameters!D$11+H57*Parameters!D$12+H58*Parameters!D$13)</f>
        <v>1079.1999999999998</v>
      </c>
      <c r="J60" s="50"/>
    </row>
    <row r="61" spans="1:10" x14ac:dyDescent="0.3">
      <c r="D61" s="2"/>
    </row>
    <row r="62" spans="1:10" x14ac:dyDescent="0.3">
      <c r="B62" s="2">
        <v>8</v>
      </c>
      <c r="C62" s="22" t="s">
        <v>314</v>
      </c>
    </row>
    <row r="64" spans="1:10" x14ac:dyDescent="0.3">
      <c r="C64" s="6"/>
      <c r="D64" s="7" t="s">
        <v>72</v>
      </c>
      <c r="F64" s="7" t="s">
        <v>75</v>
      </c>
      <c r="H64" s="2" t="s">
        <v>79</v>
      </c>
    </row>
    <row r="65" spans="2:10" x14ac:dyDescent="0.3">
      <c r="C65" s="6" t="s">
        <v>199</v>
      </c>
      <c r="D65" s="28" t="s">
        <v>73</v>
      </c>
      <c r="E65" s="19"/>
      <c r="F65" s="18" t="s">
        <v>76</v>
      </c>
      <c r="G65" s="18"/>
      <c r="H65" s="30" t="s">
        <v>80</v>
      </c>
    </row>
    <row r="66" spans="2:10" ht="15" thickBot="1" x14ac:dyDescent="0.35">
      <c r="D66" s="18"/>
      <c r="E66" s="18"/>
      <c r="F66" s="18"/>
      <c r="G66" s="18"/>
      <c r="H66" s="30"/>
    </row>
    <row r="67" spans="2:10" x14ac:dyDescent="0.3">
      <c r="C67" t="s">
        <v>48</v>
      </c>
      <c r="D67" s="102">
        <v>0</v>
      </c>
      <c r="E67" s="19" t="s">
        <v>83</v>
      </c>
      <c r="F67" s="99">
        <v>0</v>
      </c>
      <c r="G67" s="18"/>
      <c r="H67" s="36">
        <f>D67*D$6/60+F67</f>
        <v>0</v>
      </c>
      <c r="J67" s="50" t="s">
        <v>254</v>
      </c>
    </row>
    <row r="68" spans="2:10" x14ac:dyDescent="0.3">
      <c r="C68" t="s">
        <v>9</v>
      </c>
      <c r="D68" s="103">
        <v>0</v>
      </c>
      <c r="E68" s="19" t="s">
        <v>83</v>
      </c>
      <c r="F68" s="100">
        <v>13</v>
      </c>
      <c r="H68" s="36">
        <f>D68*D$6/60+F68</f>
        <v>13</v>
      </c>
      <c r="J68" s="50" t="s">
        <v>268</v>
      </c>
    </row>
    <row r="69" spans="2:10" ht="15" thickBot="1" x14ac:dyDescent="0.35">
      <c r="C69" t="s">
        <v>195</v>
      </c>
      <c r="D69" s="104">
        <v>10</v>
      </c>
      <c r="E69" s="19" t="s">
        <v>83</v>
      </c>
      <c r="F69" s="101">
        <v>0</v>
      </c>
      <c r="H69" s="36">
        <f>D69*D$6/60+F69</f>
        <v>45.333333333333336</v>
      </c>
      <c r="J69" s="51" t="s">
        <v>269</v>
      </c>
    </row>
    <row r="70" spans="2:10" x14ac:dyDescent="0.3">
      <c r="D70" s="2"/>
      <c r="J70" s="50"/>
    </row>
    <row r="71" spans="2:10" x14ac:dyDescent="0.3">
      <c r="C71" s="6" t="s">
        <v>210</v>
      </c>
      <c r="D71" s="29">
        <f>(H67*Parameters!D$11+H68*Parameters!D$12+H69*Parameters!D$13)</f>
        <v>1076</v>
      </c>
      <c r="J71" s="50"/>
    </row>
    <row r="72" spans="2:10" x14ac:dyDescent="0.3">
      <c r="D72" s="2"/>
      <c r="J72" s="50"/>
    </row>
    <row r="73" spans="2:10" x14ac:dyDescent="0.3">
      <c r="B73" s="2">
        <v>9</v>
      </c>
      <c r="C73" s="22" t="s">
        <v>315</v>
      </c>
    </row>
    <row r="75" spans="2:10" x14ac:dyDescent="0.3">
      <c r="C75" s="6" t="s">
        <v>207</v>
      </c>
      <c r="D75" s="2"/>
    </row>
    <row r="76" spans="2:10" x14ac:dyDescent="0.3">
      <c r="C76" s="6"/>
      <c r="D76" s="2"/>
      <c r="E76" s="2" t="s">
        <v>204</v>
      </c>
      <c r="H76" s="2" t="s">
        <v>309</v>
      </c>
    </row>
    <row r="77" spans="2:10" ht="15" thickBot="1" x14ac:dyDescent="0.35">
      <c r="C77" s="6" t="s">
        <v>0</v>
      </c>
      <c r="D77" s="2" t="s">
        <v>67</v>
      </c>
      <c r="E77" s="2" t="s">
        <v>205</v>
      </c>
      <c r="H77" s="2" t="s">
        <v>230</v>
      </c>
    </row>
    <row r="78" spans="2:10" ht="15" thickBot="1" x14ac:dyDescent="0.35">
      <c r="C78" t="s">
        <v>282</v>
      </c>
      <c r="D78" s="79" t="s">
        <v>8</v>
      </c>
      <c r="E78" s="79">
        <v>200</v>
      </c>
      <c r="H78" s="4">
        <f>IF(D78="x",E78*Parameters!AA37,0)</f>
        <v>251.1875</v>
      </c>
      <c r="J78" s="50"/>
    </row>
    <row r="79" spans="2:10" ht="15" thickBot="1" x14ac:dyDescent="0.35">
      <c r="C79" t="s">
        <v>200</v>
      </c>
      <c r="D79" s="79" t="s">
        <v>8</v>
      </c>
      <c r="E79" s="79">
        <v>3</v>
      </c>
      <c r="H79" s="4">
        <f>IF(D79="x",E79*Parameters!AA38,0)</f>
        <v>49.293840000000003</v>
      </c>
    </row>
    <row r="80" spans="2:10" ht="15" thickBot="1" x14ac:dyDescent="0.35">
      <c r="C80" t="s">
        <v>202</v>
      </c>
      <c r="D80" s="79"/>
      <c r="E80" s="79"/>
      <c r="H80" s="4">
        <f>IF(D80="x",E80*Parameters!AA39,0)</f>
        <v>0</v>
      </c>
    </row>
    <row r="81" spans="3:8" ht="15" thickBot="1" x14ac:dyDescent="0.35">
      <c r="C81" t="s">
        <v>201</v>
      </c>
      <c r="D81" s="79"/>
      <c r="E81" s="79"/>
      <c r="H81" s="4">
        <f>IF(D81="x",E81*Parameters!AA40,0)</f>
        <v>0</v>
      </c>
    </row>
    <row r="82" spans="3:8" ht="15" thickBot="1" x14ac:dyDescent="0.35">
      <c r="C82" t="s">
        <v>206</v>
      </c>
      <c r="D82" s="79" t="s">
        <v>8</v>
      </c>
      <c r="E82" s="79">
        <v>7</v>
      </c>
      <c r="H82" s="4">
        <f>IF(D82="x",E82*Parameters!AA41,0)</f>
        <v>191.20317999999997</v>
      </c>
    </row>
    <row r="83" spans="3:8" ht="15" thickBot="1" x14ac:dyDescent="0.35">
      <c r="C83" t="s">
        <v>47</v>
      </c>
      <c r="D83" s="79" t="s">
        <v>8</v>
      </c>
      <c r="E83" s="79">
        <v>3</v>
      </c>
      <c r="H83" s="4">
        <f>IF(D83="x",E83*Parameters!AA42,0)</f>
        <v>67.89973599999999</v>
      </c>
    </row>
    <row r="84" spans="3:8" ht="15" thickBot="1" x14ac:dyDescent="0.35">
      <c r="C84" t="s">
        <v>7</v>
      </c>
      <c r="D84" s="79" t="s">
        <v>8</v>
      </c>
      <c r="E84" s="79">
        <v>5</v>
      </c>
      <c r="H84" s="4">
        <f>IF(D84="x",E84*Parameters!AA43,0)</f>
        <v>12.350000000000001</v>
      </c>
    </row>
    <row r="85" spans="3:8" ht="15" thickBot="1" x14ac:dyDescent="0.35">
      <c r="C85" t="s">
        <v>203</v>
      </c>
      <c r="D85" s="79" t="s">
        <v>8</v>
      </c>
      <c r="E85" s="79">
        <v>3</v>
      </c>
      <c r="H85" s="4">
        <f>IF(D85="x",E85*Parameters!AA44,0)</f>
        <v>3.7050000000000001</v>
      </c>
    </row>
    <row r="86" spans="3:8" ht="15" thickBot="1" x14ac:dyDescent="0.35">
      <c r="C86" t="s">
        <v>23</v>
      </c>
      <c r="D86" s="79" t="s">
        <v>8</v>
      </c>
      <c r="E86" s="79">
        <v>2</v>
      </c>
      <c r="H86" s="4">
        <f>IF(D86="x",E86*Parameters!AA45,0)</f>
        <v>5.7</v>
      </c>
    </row>
    <row r="87" spans="3:8" ht="15" thickBot="1" x14ac:dyDescent="0.35">
      <c r="C87" t="s">
        <v>6</v>
      </c>
      <c r="D87" s="79" t="s">
        <v>8</v>
      </c>
      <c r="E87" s="79">
        <v>2</v>
      </c>
      <c r="H87" s="4">
        <f>IF(D87="x",E87*Parameters!AA46,0)</f>
        <v>1.44</v>
      </c>
    </row>
    <row r="88" spans="3:8" ht="15" thickBot="1" x14ac:dyDescent="0.35">
      <c r="C88" t="s">
        <v>5</v>
      </c>
      <c r="D88" s="79" t="s">
        <v>8</v>
      </c>
      <c r="E88" s="79">
        <v>2</v>
      </c>
      <c r="H88" s="4">
        <f>IF(D88="x",E88*Parameters!AA47,0)</f>
        <v>1.08</v>
      </c>
    </row>
    <row r="90" spans="3:8" x14ac:dyDescent="0.3">
      <c r="C90" s="6" t="s">
        <v>208</v>
      </c>
      <c r="D90" s="29">
        <f>SUM(H78:H88)</f>
        <v>583.85925600000019</v>
      </c>
    </row>
    <row r="91" spans="3:8" x14ac:dyDescent="0.3">
      <c r="D91" s="37"/>
    </row>
    <row r="92" spans="3:8" ht="15" thickBot="1" x14ac:dyDescent="0.35">
      <c r="C92" s="6" t="s">
        <v>214</v>
      </c>
      <c r="D92" s="44">
        <f>D48+D60+D71+D90</f>
        <v>3402.059256</v>
      </c>
    </row>
    <row r="93" spans="3:8" ht="15.6" thickTop="1" thickBot="1" x14ac:dyDescent="0.35"/>
    <row r="94" spans="3:8" ht="15.6" thickTop="1" thickBot="1" x14ac:dyDescent="0.35">
      <c r="C94" s="158" t="s">
        <v>374</v>
      </c>
      <c r="D94" s="162"/>
    </row>
    <row r="95" spans="3:8" ht="15" thickTop="1" x14ac:dyDescent="0.3"/>
    <row r="98" spans="8:8" x14ac:dyDescent="0.3">
      <c r="H98" s="30"/>
    </row>
  </sheetData>
  <sheetProtection sheet="1" objects="1" scenarios="1" selectLockedCells="1"/>
  <mergeCells count="1">
    <mergeCell ref="C94:D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77D9-910A-4AC4-B75A-E78CA8E93434}">
  <dimension ref="A1:K116"/>
  <sheetViews>
    <sheetView workbookViewId="0">
      <selection activeCell="B1" sqref="B1"/>
    </sheetView>
  </sheetViews>
  <sheetFormatPr defaultRowHeight="14.4" x14ac:dyDescent="0.3"/>
  <cols>
    <col min="1" max="1" width="9.21875" customWidth="1"/>
    <col min="2" max="2" width="30.21875" customWidth="1"/>
    <col min="3" max="3" width="9.88671875" style="2" bestFit="1" customWidth="1"/>
    <col min="4" max="4" width="9.21875" customWidth="1"/>
    <col min="6" max="6" width="6.77734375" customWidth="1"/>
    <col min="8" max="8" width="6.77734375" customWidth="1"/>
  </cols>
  <sheetData>
    <row r="1" spans="1:5" ht="18" x14ac:dyDescent="0.35">
      <c r="A1" s="35" t="s">
        <v>448</v>
      </c>
      <c r="B1" s="109"/>
    </row>
    <row r="2" spans="1:5" x14ac:dyDescent="0.3">
      <c r="B2" s="22" t="s">
        <v>417</v>
      </c>
    </row>
    <row r="3" spans="1:5" x14ac:dyDescent="0.3">
      <c r="A3" s="2" t="s">
        <v>251</v>
      </c>
    </row>
    <row r="4" spans="1:5" x14ac:dyDescent="0.3">
      <c r="B4" t="s">
        <v>69</v>
      </c>
      <c r="C4" s="27">
        <f>'Grafting Prep'!D10</f>
        <v>4</v>
      </c>
      <c r="E4" s="6" t="s">
        <v>328</v>
      </c>
    </row>
    <row r="5" spans="1:5" x14ac:dyDescent="0.3">
      <c r="B5" t="s">
        <v>375</v>
      </c>
      <c r="C5" s="27">
        <f>'Grafting Prep'!D6</f>
        <v>272</v>
      </c>
      <c r="E5" s="6"/>
    </row>
    <row r="6" spans="1:5" x14ac:dyDescent="0.3">
      <c r="B6" t="s">
        <v>71</v>
      </c>
      <c r="C6" s="27">
        <f>'Grafting Prep'!D6*C4</f>
        <v>1088</v>
      </c>
    </row>
    <row r="7" spans="1:5" x14ac:dyDescent="0.3">
      <c r="C7" s="3"/>
    </row>
    <row r="8" spans="1:5" x14ac:dyDescent="0.3">
      <c r="A8" s="2">
        <v>1</v>
      </c>
      <c r="B8" s="22" t="s">
        <v>391</v>
      </c>
    </row>
    <row r="9" spans="1:5" ht="15" thickBot="1" x14ac:dyDescent="0.35">
      <c r="C9" s="3"/>
    </row>
    <row r="10" spans="1:5" ht="15" thickBot="1" x14ac:dyDescent="0.35">
      <c r="B10" t="s">
        <v>194</v>
      </c>
      <c r="C10" s="79"/>
      <c r="E10" s="56" t="str">
        <f>IF(C10="x",C21+C44+C56+C72,"")</f>
        <v/>
      </c>
    </row>
    <row r="11" spans="1:5" ht="15" thickBot="1" x14ac:dyDescent="0.35">
      <c r="B11" s="21" t="s">
        <v>74</v>
      </c>
      <c r="C11" s="2" t="s">
        <v>74</v>
      </c>
      <c r="D11" s="52" t="str">
        <f>IF(C10=C12,"ERROR--choose only one","")</f>
        <v/>
      </c>
      <c r="E11" s="56"/>
    </row>
    <row r="12" spans="1:5" ht="15" thickBot="1" x14ac:dyDescent="0.35">
      <c r="B12" t="s">
        <v>323</v>
      </c>
      <c r="C12" s="79" t="s">
        <v>8</v>
      </c>
      <c r="E12" s="56">
        <f>IF(C12="x",C33+C44+C56+C72,"")</f>
        <v>1950</v>
      </c>
    </row>
    <row r="13" spans="1:5" x14ac:dyDescent="0.3">
      <c r="C13" s="8" t="str">
        <f>IF(C12="X","(If doing your own grafting, skip to step 3)","")</f>
        <v>(If doing your own grafting, skip to step 3)</v>
      </c>
    </row>
    <row r="14" spans="1:5" x14ac:dyDescent="0.3">
      <c r="A14" s="7"/>
      <c r="C14"/>
    </row>
    <row r="15" spans="1:5" x14ac:dyDescent="0.3">
      <c r="A15" s="2">
        <v>2</v>
      </c>
      <c r="B15" s="22" t="s">
        <v>327</v>
      </c>
    </row>
    <row r="17" spans="1:9" ht="15" thickBot="1" x14ac:dyDescent="0.35">
      <c r="B17" s="6" t="s">
        <v>326</v>
      </c>
    </row>
    <row r="18" spans="1:9" x14ac:dyDescent="0.3">
      <c r="A18" s="6"/>
      <c r="B18" t="s">
        <v>25</v>
      </c>
      <c r="C18" s="105">
        <v>1</v>
      </c>
    </row>
    <row r="19" spans="1:9" x14ac:dyDescent="0.3">
      <c r="B19" t="s">
        <v>14</v>
      </c>
      <c r="C19" s="106">
        <v>500</v>
      </c>
    </row>
    <row r="20" spans="1:9" ht="15" thickBot="1" x14ac:dyDescent="0.35">
      <c r="B20" t="s">
        <v>15</v>
      </c>
      <c r="C20" s="107">
        <v>50</v>
      </c>
    </row>
    <row r="21" spans="1:9" x14ac:dyDescent="0.3">
      <c r="B21" t="s">
        <v>78</v>
      </c>
      <c r="C21" s="29">
        <f>IF(C10="x",C6*C18+C19+C20,0)</f>
        <v>0</v>
      </c>
    </row>
    <row r="22" spans="1:9" x14ac:dyDescent="0.3">
      <c r="C22" s="8" t="str">
        <f>IF(C10="X","(If using a grafting service, skip to step 4)","")</f>
        <v/>
      </c>
      <c r="H22" s="4"/>
    </row>
    <row r="23" spans="1:9" x14ac:dyDescent="0.3">
      <c r="A23" s="8"/>
      <c r="C23" s="8"/>
      <c r="H23" s="4"/>
    </row>
    <row r="24" spans="1:9" x14ac:dyDescent="0.3">
      <c r="A24" s="2">
        <v>3</v>
      </c>
      <c r="B24" s="22" t="s">
        <v>330</v>
      </c>
      <c r="H24" s="4"/>
    </row>
    <row r="25" spans="1:9" x14ac:dyDescent="0.3">
      <c r="E25" s="2"/>
      <c r="G25" s="2"/>
      <c r="H25" s="4"/>
    </row>
    <row r="26" spans="1:9" x14ac:dyDescent="0.3">
      <c r="B26" s="6" t="s">
        <v>16</v>
      </c>
      <c r="C26" s="7" t="s">
        <v>72</v>
      </c>
      <c r="E26" s="7" t="s">
        <v>75</v>
      </c>
      <c r="G26" s="2" t="s">
        <v>79</v>
      </c>
    </row>
    <row r="27" spans="1:9" x14ac:dyDescent="0.3">
      <c r="A27" s="6"/>
      <c r="C27" s="28" t="s">
        <v>73</v>
      </c>
      <c r="D27" s="19"/>
      <c r="E27" s="18" t="s">
        <v>76</v>
      </c>
      <c r="F27" s="18"/>
      <c r="G27" s="30" t="s">
        <v>80</v>
      </c>
      <c r="I27" s="50" t="s">
        <v>252</v>
      </c>
    </row>
    <row r="28" spans="1:9" ht="15" thickBot="1" x14ac:dyDescent="0.35">
      <c r="C28" s="18"/>
      <c r="D28" s="18"/>
      <c r="E28" s="18"/>
      <c r="F28" s="18"/>
      <c r="G28" s="30"/>
      <c r="I28" s="49"/>
    </row>
    <row r="29" spans="1:9" x14ac:dyDescent="0.3">
      <c r="B29" t="s">
        <v>48</v>
      </c>
      <c r="C29" s="102">
        <v>0</v>
      </c>
      <c r="D29" s="19" t="s">
        <v>83</v>
      </c>
      <c r="E29" s="99">
        <v>2</v>
      </c>
      <c r="F29" s="18"/>
      <c r="G29" s="36">
        <f>C29*'Grafting Prep'!D$6/60+E29</f>
        <v>2</v>
      </c>
      <c r="I29" s="50" t="s">
        <v>260</v>
      </c>
    </row>
    <row r="30" spans="1:9" x14ac:dyDescent="0.3">
      <c r="B30" t="s">
        <v>9</v>
      </c>
      <c r="C30" s="103">
        <v>0</v>
      </c>
      <c r="D30" s="19" t="s">
        <v>83</v>
      </c>
      <c r="E30" s="100">
        <v>5</v>
      </c>
      <c r="G30" s="36">
        <f>C30*'Grafting Prep'!D$6/60+E30</f>
        <v>5</v>
      </c>
      <c r="I30" s="50" t="s">
        <v>261</v>
      </c>
    </row>
    <row r="31" spans="1:9" ht="15" thickBot="1" x14ac:dyDescent="0.35">
      <c r="B31" t="s">
        <v>195</v>
      </c>
      <c r="C31" s="104">
        <v>15</v>
      </c>
      <c r="D31" s="19" t="s">
        <v>83</v>
      </c>
      <c r="E31" s="101">
        <v>0</v>
      </c>
      <c r="G31" s="36">
        <f>C31*'Grafting Prep'!D$6/60+E31</f>
        <v>68</v>
      </c>
      <c r="I31" s="50" t="s">
        <v>259</v>
      </c>
    </row>
    <row r="32" spans="1:9" x14ac:dyDescent="0.3">
      <c r="G32" s="40"/>
      <c r="I32" s="50"/>
    </row>
    <row r="33" spans="1:9" x14ac:dyDescent="0.3">
      <c r="A33" s="6"/>
      <c r="B33" t="s">
        <v>77</v>
      </c>
      <c r="C33" s="29">
        <f>IF(C12="x",G29*Parameters!D$11+G30*Parameters!D$12+G31*Parameters!D$13,0)</f>
        <v>1374</v>
      </c>
      <c r="G33" s="40"/>
      <c r="I33" s="50"/>
    </row>
    <row r="34" spans="1:9" x14ac:dyDescent="0.3">
      <c r="A34" s="6"/>
      <c r="G34" s="40"/>
      <c r="I34" s="50"/>
    </row>
    <row r="35" spans="1:9" x14ac:dyDescent="0.3">
      <c r="A35" s="2">
        <v>4</v>
      </c>
      <c r="B35" s="22" t="s">
        <v>331</v>
      </c>
      <c r="G35" s="40"/>
      <c r="I35" s="50"/>
    </row>
    <row r="36" spans="1:9" x14ac:dyDescent="0.3">
      <c r="A36" s="6"/>
      <c r="G36" s="40"/>
      <c r="I36" s="50"/>
    </row>
    <row r="37" spans="1:9" x14ac:dyDescent="0.3">
      <c r="B37" s="6" t="s">
        <v>81</v>
      </c>
      <c r="C37" s="7" t="s">
        <v>72</v>
      </c>
      <c r="E37" s="7" t="s">
        <v>75</v>
      </c>
      <c r="G37" s="41" t="s">
        <v>79</v>
      </c>
      <c r="I37" s="50"/>
    </row>
    <row r="38" spans="1:9" x14ac:dyDescent="0.3">
      <c r="B38" s="6" t="s">
        <v>84</v>
      </c>
      <c r="C38" s="28" t="s">
        <v>73</v>
      </c>
      <c r="D38" s="19"/>
      <c r="E38" s="18" t="s">
        <v>76</v>
      </c>
      <c r="F38" s="18"/>
      <c r="G38" s="36" t="s">
        <v>80</v>
      </c>
      <c r="I38" s="50"/>
    </row>
    <row r="39" spans="1:9" ht="15" thickBot="1" x14ac:dyDescent="0.35">
      <c r="C39" s="18"/>
      <c r="D39" s="18"/>
      <c r="E39" s="18"/>
      <c r="F39" s="18"/>
      <c r="G39" s="36"/>
      <c r="I39" s="50"/>
    </row>
    <row r="40" spans="1:9" x14ac:dyDescent="0.3">
      <c r="A40" s="6"/>
      <c r="B40" t="s">
        <v>48</v>
      </c>
      <c r="C40" s="102">
        <v>0</v>
      </c>
      <c r="D40" s="19" t="s">
        <v>83</v>
      </c>
      <c r="E40" s="99">
        <v>0</v>
      </c>
      <c r="F40" s="18"/>
      <c r="G40" s="36">
        <f>C40*'Grafting Prep'!D$6/60+E40</f>
        <v>0</v>
      </c>
      <c r="I40" s="50" t="s">
        <v>254</v>
      </c>
    </row>
    <row r="41" spans="1:9" x14ac:dyDescent="0.3">
      <c r="B41" t="s">
        <v>9</v>
      </c>
      <c r="C41" s="103">
        <v>0</v>
      </c>
      <c r="D41" s="19" t="s">
        <v>83</v>
      </c>
      <c r="E41" s="100">
        <v>0</v>
      </c>
      <c r="G41" s="36">
        <f>C41*'Grafting Prep'!D$6/60+E41</f>
        <v>0</v>
      </c>
      <c r="I41" s="50" t="s">
        <v>262</v>
      </c>
    </row>
    <row r="42" spans="1:9" ht="15" thickBot="1" x14ac:dyDescent="0.35">
      <c r="B42" t="s">
        <v>195</v>
      </c>
      <c r="C42" s="104">
        <v>0</v>
      </c>
      <c r="D42" s="19" t="s">
        <v>83</v>
      </c>
      <c r="E42" s="101">
        <v>0</v>
      </c>
      <c r="G42" s="36">
        <f>C42*'Grafting Prep'!D$6/60+E42</f>
        <v>0</v>
      </c>
      <c r="I42" s="51" t="s">
        <v>261</v>
      </c>
    </row>
    <row r="43" spans="1:9" x14ac:dyDescent="0.3">
      <c r="G43" s="40"/>
      <c r="I43" s="50"/>
    </row>
    <row r="44" spans="1:9" x14ac:dyDescent="0.3">
      <c r="B44" t="s">
        <v>85</v>
      </c>
      <c r="C44" s="29">
        <f>(G40*Parameters!D$11+G41*Parameters!D$12+G42*Parameters!D$13)</f>
        <v>0</v>
      </c>
      <c r="G44" s="40"/>
    </row>
    <row r="45" spans="1:9" x14ac:dyDescent="0.3">
      <c r="G45" s="40"/>
      <c r="I45" s="50"/>
    </row>
    <row r="46" spans="1:9" x14ac:dyDescent="0.3">
      <c r="A46" s="2">
        <v>5</v>
      </c>
      <c r="B46" s="22" t="s">
        <v>272</v>
      </c>
      <c r="G46" s="40"/>
      <c r="I46" s="50"/>
    </row>
    <row r="47" spans="1:9" x14ac:dyDescent="0.3">
      <c r="A47" s="6"/>
      <c r="G47" s="40"/>
      <c r="I47" s="50"/>
    </row>
    <row r="48" spans="1:9" x14ac:dyDescent="0.3">
      <c r="C48" s="2" t="s">
        <v>11</v>
      </c>
      <c r="E48" s="2" t="s">
        <v>12</v>
      </c>
      <c r="G48" s="41" t="s">
        <v>20</v>
      </c>
      <c r="I48" s="50"/>
    </row>
    <row r="49" spans="1:9" x14ac:dyDescent="0.3">
      <c r="B49" s="6" t="s">
        <v>87</v>
      </c>
      <c r="C49" s="7" t="s">
        <v>72</v>
      </c>
      <c r="E49" s="7" t="s">
        <v>75</v>
      </c>
      <c r="G49" s="41" t="s">
        <v>79</v>
      </c>
      <c r="I49" s="50"/>
    </row>
    <row r="50" spans="1:9" x14ac:dyDescent="0.3">
      <c r="B50" s="6"/>
      <c r="C50" s="28" t="s">
        <v>73</v>
      </c>
      <c r="D50" s="19"/>
      <c r="E50" s="18" t="s">
        <v>76</v>
      </c>
      <c r="F50" s="18"/>
      <c r="G50" s="36" t="s">
        <v>80</v>
      </c>
      <c r="I50" s="50"/>
    </row>
    <row r="51" spans="1:9" ht="15" thickBot="1" x14ac:dyDescent="0.35">
      <c r="C51" s="18"/>
      <c r="D51" s="18"/>
      <c r="E51" s="18"/>
      <c r="F51" s="18"/>
      <c r="G51" s="36"/>
      <c r="I51" s="50"/>
    </row>
    <row r="52" spans="1:9" x14ac:dyDescent="0.3">
      <c r="B52" t="s">
        <v>48</v>
      </c>
      <c r="C52" s="102">
        <v>0</v>
      </c>
      <c r="D52" s="19" t="s">
        <v>83</v>
      </c>
      <c r="E52" s="99">
        <v>0</v>
      </c>
      <c r="F52" s="18"/>
      <c r="G52" s="36">
        <f>C52*'Grafting Prep'!D$6/60+E52</f>
        <v>0</v>
      </c>
      <c r="I52" s="50" t="s">
        <v>253</v>
      </c>
    </row>
    <row r="53" spans="1:9" x14ac:dyDescent="0.3">
      <c r="B53" t="s">
        <v>9</v>
      </c>
      <c r="C53" s="103">
        <v>0</v>
      </c>
      <c r="D53" s="19" t="s">
        <v>83</v>
      </c>
      <c r="E53" s="100">
        <v>0</v>
      </c>
      <c r="G53" s="36">
        <f>C53*'Grafting Prep'!D$6/60+E53</f>
        <v>0</v>
      </c>
      <c r="I53" s="50" t="s">
        <v>254</v>
      </c>
    </row>
    <row r="54" spans="1:9" ht="15" thickBot="1" x14ac:dyDescent="0.35">
      <c r="B54" t="s">
        <v>195</v>
      </c>
      <c r="C54" s="104">
        <v>0</v>
      </c>
      <c r="D54" s="19" t="s">
        <v>83</v>
      </c>
      <c r="E54" s="101">
        <v>32</v>
      </c>
      <c r="G54" s="36">
        <f>C54*'Grafting Prep'!D$6/60+E54</f>
        <v>32</v>
      </c>
      <c r="I54" s="51" t="s">
        <v>255</v>
      </c>
    </row>
    <row r="55" spans="1:9" x14ac:dyDescent="0.3">
      <c r="G55" s="40"/>
    </row>
    <row r="56" spans="1:9" x14ac:dyDescent="0.3">
      <c r="B56" t="s">
        <v>113</v>
      </c>
      <c r="C56" s="29">
        <f>(G52*Parameters!D$11+G53*Parameters!D$12+G54*Parameters!D$13)</f>
        <v>576</v>
      </c>
      <c r="G56" s="40"/>
      <c r="I56" s="50"/>
    </row>
    <row r="57" spans="1:9" x14ac:dyDescent="0.3">
      <c r="G57" s="40"/>
      <c r="I57" s="50"/>
    </row>
    <row r="58" spans="1:9" x14ac:dyDescent="0.3">
      <c r="A58" s="2">
        <v>6</v>
      </c>
      <c r="B58" s="22" t="s">
        <v>347</v>
      </c>
      <c r="G58" s="40"/>
      <c r="I58" s="50"/>
    </row>
    <row r="59" spans="1:9" x14ac:dyDescent="0.3">
      <c r="B59" s="58" t="str">
        <f>IF('Yield &amp; income projections'!E14&gt;0,"====&gt; Because you indicated that you are cropping the nurse limb, enter zeroes for removal labor","")</f>
        <v>====&gt; Because you indicated that you are cropping the nurse limb, enter zeroes for removal labor</v>
      </c>
    </row>
    <row r="60" spans="1:9" x14ac:dyDescent="0.3">
      <c r="A60" s="8"/>
      <c r="C60" s="2" t="s">
        <v>11</v>
      </c>
      <c r="E60" s="2" t="s">
        <v>12</v>
      </c>
      <c r="G60" s="41" t="s">
        <v>20</v>
      </c>
      <c r="I60" s="50"/>
    </row>
    <row r="61" spans="1:9" x14ac:dyDescent="0.3">
      <c r="B61" s="6" t="s">
        <v>19</v>
      </c>
      <c r="C61" s="7" t="s">
        <v>72</v>
      </c>
      <c r="E61" s="7" t="s">
        <v>75</v>
      </c>
      <c r="G61" s="41" t="s">
        <v>79</v>
      </c>
      <c r="I61" s="50"/>
    </row>
    <row r="62" spans="1:9" x14ac:dyDescent="0.3">
      <c r="B62" s="22"/>
      <c r="C62" s="28" t="s">
        <v>73</v>
      </c>
      <c r="D62" s="19"/>
      <c r="E62" s="18" t="s">
        <v>76</v>
      </c>
      <c r="F62" s="18"/>
      <c r="G62" s="36" t="s">
        <v>80</v>
      </c>
      <c r="I62" s="50"/>
    </row>
    <row r="63" spans="1:9" ht="15" thickBot="1" x14ac:dyDescent="0.35">
      <c r="A63" s="8"/>
      <c r="C63" s="18"/>
      <c r="D63" s="18"/>
      <c r="E63" s="18"/>
      <c r="F63" s="18"/>
      <c r="G63" s="36"/>
      <c r="I63" s="50"/>
    </row>
    <row r="64" spans="1:9" x14ac:dyDescent="0.3">
      <c r="A64" s="8"/>
      <c r="B64" t="s">
        <v>48</v>
      </c>
      <c r="C64" s="102">
        <v>0</v>
      </c>
      <c r="D64" s="19" t="s">
        <v>83</v>
      </c>
      <c r="E64" s="99">
        <v>0</v>
      </c>
      <c r="F64" s="18"/>
      <c r="G64" s="36">
        <f>C64*'Grafting Prep'!D$6/60+E64</f>
        <v>0</v>
      </c>
      <c r="I64" s="50" t="s">
        <v>253</v>
      </c>
    </row>
    <row r="65" spans="1:11" x14ac:dyDescent="0.3">
      <c r="A65" s="8"/>
      <c r="B65" t="s">
        <v>9</v>
      </c>
      <c r="C65" s="103">
        <v>0</v>
      </c>
      <c r="D65" s="19" t="s">
        <v>83</v>
      </c>
      <c r="E65" s="100">
        <v>0</v>
      </c>
      <c r="G65" s="36">
        <f>C65*'Grafting Prep'!D$6/60+E65</f>
        <v>0</v>
      </c>
      <c r="I65" s="50" t="s">
        <v>254</v>
      </c>
    </row>
    <row r="66" spans="1:11" ht="15" thickBot="1" x14ac:dyDescent="0.35">
      <c r="A66" s="8"/>
      <c r="B66" t="s">
        <v>195</v>
      </c>
      <c r="C66" s="104">
        <v>0</v>
      </c>
      <c r="D66" s="19" t="s">
        <v>83</v>
      </c>
      <c r="E66" s="101">
        <v>0</v>
      </c>
      <c r="G66" s="36">
        <f>C66*'Grafting Prep'!D$6/60+E66</f>
        <v>0</v>
      </c>
      <c r="I66" s="51" t="s">
        <v>266</v>
      </c>
    </row>
    <row r="67" spans="1:11" x14ac:dyDescent="0.3">
      <c r="A67" s="8"/>
    </row>
    <row r="68" spans="1:11" x14ac:dyDescent="0.3">
      <c r="A68" s="2">
        <v>7</v>
      </c>
      <c r="B68" s="22" t="s">
        <v>348</v>
      </c>
    </row>
    <row r="69" spans="1:11" ht="15" thickBot="1" x14ac:dyDescent="0.35">
      <c r="A69" s="8"/>
    </row>
    <row r="70" spans="1:11" ht="15" thickBot="1" x14ac:dyDescent="0.35">
      <c r="B70" s="6" t="s">
        <v>88</v>
      </c>
      <c r="C70" s="108">
        <v>0</v>
      </c>
      <c r="D70" s="19" t="s">
        <v>89</v>
      </c>
    </row>
    <row r="71" spans="1:11" x14ac:dyDescent="0.3">
      <c r="A71" s="8"/>
      <c r="B71" s="6"/>
      <c r="C71" s="28"/>
      <c r="D71" s="19"/>
      <c r="E71" s="18"/>
      <c r="F71" s="18"/>
      <c r="G71" s="30"/>
    </row>
    <row r="72" spans="1:11" x14ac:dyDescent="0.3">
      <c r="A72" s="8"/>
      <c r="B72" s="6" t="s">
        <v>86</v>
      </c>
      <c r="C72" s="29">
        <f>(G64*Parameters!D$11+G65*Parameters!D$12+G66*Parameters!D$13)+C$70</f>
        <v>0</v>
      </c>
      <c r="D72" s="18"/>
      <c r="E72" s="30" t="s">
        <v>264</v>
      </c>
      <c r="G72" s="30"/>
      <c r="K72" s="18"/>
    </row>
    <row r="73" spans="1:11" x14ac:dyDescent="0.3">
      <c r="A73" s="8"/>
      <c r="C73" s="24"/>
      <c r="D73" s="19"/>
      <c r="E73" s="32"/>
      <c r="G73" s="30"/>
    </row>
    <row r="74" spans="1:11" x14ac:dyDescent="0.3">
      <c r="A74" s="8"/>
      <c r="B74" s="6" t="s">
        <v>223</v>
      </c>
      <c r="C74" s="29">
        <f>'Yield &amp; income projections'!$E$39*1.25</f>
        <v>125</v>
      </c>
      <c r="E74" s="6" t="s">
        <v>263</v>
      </c>
      <c r="G74" s="30"/>
    </row>
    <row r="75" spans="1:11" ht="15" thickBot="1" x14ac:dyDescent="0.35">
      <c r="F75" s="6" t="s">
        <v>265</v>
      </c>
      <c r="G75" s="30"/>
    </row>
    <row r="76" spans="1:11" ht="15" thickBot="1" x14ac:dyDescent="0.35">
      <c r="B76" s="6" t="s">
        <v>217</v>
      </c>
      <c r="C76" s="108">
        <v>100</v>
      </c>
      <c r="D76" s="19" t="s">
        <v>89</v>
      </c>
      <c r="E76" s="32"/>
    </row>
    <row r="77" spans="1:11" ht="15" thickBot="1" x14ac:dyDescent="0.35">
      <c r="C77" s="24"/>
      <c r="D77" s="19"/>
      <c r="E77" s="32"/>
      <c r="G77" s="2"/>
    </row>
    <row r="78" spans="1:11" ht="15" thickBot="1" x14ac:dyDescent="0.35">
      <c r="B78" s="6" t="s">
        <v>219</v>
      </c>
      <c r="C78" s="108">
        <v>0</v>
      </c>
      <c r="D78" s="19" t="s">
        <v>89</v>
      </c>
      <c r="E78" s="6"/>
      <c r="G78" s="2"/>
    </row>
    <row r="79" spans="1:11" x14ac:dyDescent="0.3">
      <c r="D79" s="2"/>
      <c r="E79" s="2"/>
      <c r="F79" s="2"/>
      <c r="G79" s="5"/>
    </row>
    <row r="80" spans="1:11" ht="15" thickBot="1" x14ac:dyDescent="0.35">
      <c r="B80" s="6" t="s">
        <v>218</v>
      </c>
      <c r="C80" s="44">
        <f>C21+C33+C44+C56+C72+C74+C78</f>
        <v>2075</v>
      </c>
      <c r="D80" s="2"/>
      <c r="E80" s="2"/>
      <c r="F80" s="2"/>
      <c r="G80" s="5"/>
    </row>
    <row r="81" spans="2:7" ht="15.6" thickTop="1" thickBot="1" x14ac:dyDescent="0.35">
      <c r="B81" s="21"/>
      <c r="C81" s="16"/>
      <c r="E81" s="1"/>
      <c r="G81" s="5"/>
    </row>
    <row r="82" spans="2:7" ht="15.6" thickTop="1" thickBot="1" x14ac:dyDescent="0.35">
      <c r="B82" s="158" t="s">
        <v>374</v>
      </c>
      <c r="C82" s="162"/>
      <c r="E82" s="1"/>
      <c r="G82" s="5"/>
    </row>
    <row r="83" spans="2:7" ht="15" thickTop="1" x14ac:dyDescent="0.3"/>
    <row r="84" spans="2:7" x14ac:dyDescent="0.3">
      <c r="B84" s="8"/>
      <c r="C84"/>
      <c r="G84" s="9"/>
    </row>
    <row r="93" spans="2:7" x14ac:dyDescent="0.3">
      <c r="C93"/>
    </row>
    <row r="94" spans="2:7" x14ac:dyDescent="0.3">
      <c r="C94"/>
    </row>
    <row r="95" spans="2:7" x14ac:dyDescent="0.3">
      <c r="C95"/>
    </row>
    <row r="96" spans="2:7" x14ac:dyDescent="0.3">
      <c r="C96"/>
    </row>
    <row r="97" spans="3:3" x14ac:dyDescent="0.3">
      <c r="C97"/>
    </row>
    <row r="98" spans="3:3" x14ac:dyDescent="0.3">
      <c r="C98"/>
    </row>
    <row r="99" spans="3:3" x14ac:dyDescent="0.3">
      <c r="C99"/>
    </row>
    <row r="100" spans="3:3" x14ac:dyDescent="0.3">
      <c r="C100"/>
    </row>
    <row r="101" spans="3:3" x14ac:dyDescent="0.3">
      <c r="C101"/>
    </row>
    <row r="102" spans="3:3" x14ac:dyDescent="0.3">
      <c r="C102"/>
    </row>
    <row r="103" spans="3:3" x14ac:dyDescent="0.3">
      <c r="C103"/>
    </row>
    <row r="104" spans="3:3" x14ac:dyDescent="0.3">
      <c r="C104"/>
    </row>
    <row r="105" spans="3:3" x14ac:dyDescent="0.3">
      <c r="C105"/>
    </row>
    <row r="106" spans="3:3" x14ac:dyDescent="0.3">
      <c r="C106"/>
    </row>
    <row r="107" spans="3:3" x14ac:dyDescent="0.3">
      <c r="C107"/>
    </row>
    <row r="108" spans="3:3" x14ac:dyDescent="0.3">
      <c r="C108"/>
    </row>
    <row r="109" spans="3:3" x14ac:dyDescent="0.3">
      <c r="C109"/>
    </row>
    <row r="110" spans="3:3" x14ac:dyDescent="0.3">
      <c r="C110"/>
    </row>
    <row r="111" spans="3:3" x14ac:dyDescent="0.3">
      <c r="C111"/>
    </row>
    <row r="112" spans="3:3" x14ac:dyDescent="0.3">
      <c r="C112"/>
    </row>
    <row r="113" spans="3:3" x14ac:dyDescent="0.3">
      <c r="C113"/>
    </row>
    <row r="114" spans="3:3" x14ac:dyDescent="0.3">
      <c r="C114"/>
    </row>
    <row r="115" spans="3:3" x14ac:dyDescent="0.3">
      <c r="C115"/>
    </row>
    <row r="116" spans="3:3" x14ac:dyDescent="0.3">
      <c r="C116"/>
    </row>
  </sheetData>
  <sheetProtection sheet="1" objects="1" scenarios="1" selectLockedCells="1"/>
  <mergeCells count="1">
    <mergeCell ref="B82:C8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31654-811A-4DC1-B3A1-CD84292EEF17}">
  <dimension ref="A1:J78"/>
  <sheetViews>
    <sheetView workbookViewId="0">
      <selection activeCell="B1" sqref="B1"/>
    </sheetView>
  </sheetViews>
  <sheetFormatPr defaultRowHeight="14.4" x14ac:dyDescent="0.3"/>
  <cols>
    <col min="2" max="2" width="36.44140625" customWidth="1"/>
    <col min="3" max="3" width="9.21875" customWidth="1"/>
    <col min="5" max="5" width="9.21875" customWidth="1"/>
    <col min="6" max="6" width="6.77734375" customWidth="1"/>
    <col min="7" max="7" width="9.21875" customWidth="1"/>
    <col min="8" max="8" width="6.77734375" customWidth="1"/>
    <col min="9" max="10" width="9.21875" customWidth="1"/>
  </cols>
  <sheetData>
    <row r="1" spans="1:10" ht="18" x14ac:dyDescent="0.35">
      <c r="A1" s="35" t="s">
        <v>449</v>
      </c>
      <c r="B1" s="109"/>
    </row>
    <row r="2" spans="1:10" ht="18" x14ac:dyDescent="0.35">
      <c r="B2" s="22" t="s">
        <v>292</v>
      </c>
      <c r="C2" s="15"/>
      <c r="D2" s="15"/>
      <c r="E2" s="15"/>
      <c r="F2" s="15"/>
      <c r="G2" s="15"/>
      <c r="H2" s="15"/>
      <c r="I2" s="15"/>
      <c r="J2" s="15"/>
    </row>
    <row r="3" spans="1:10" x14ac:dyDescent="0.3">
      <c r="A3" s="2" t="s">
        <v>251</v>
      </c>
    </row>
    <row r="4" spans="1:10" x14ac:dyDescent="0.3">
      <c r="A4" s="2">
        <v>1</v>
      </c>
      <c r="B4" s="22" t="s">
        <v>272</v>
      </c>
    </row>
    <row r="5" spans="1:10" x14ac:dyDescent="0.3">
      <c r="A5" s="2"/>
    </row>
    <row r="6" spans="1:10" x14ac:dyDescent="0.3">
      <c r="C6" s="2" t="s">
        <v>11</v>
      </c>
      <c r="E6" s="2" t="s">
        <v>12</v>
      </c>
      <c r="G6" s="41" t="s">
        <v>20</v>
      </c>
    </row>
    <row r="7" spans="1:10" x14ac:dyDescent="0.3">
      <c r="B7" s="6" t="s">
        <v>87</v>
      </c>
      <c r="C7" s="7" t="s">
        <v>72</v>
      </c>
      <c r="E7" s="7" t="s">
        <v>75</v>
      </c>
      <c r="G7" s="41" t="s">
        <v>79</v>
      </c>
    </row>
    <row r="8" spans="1:10" x14ac:dyDescent="0.3">
      <c r="B8" s="6"/>
      <c r="C8" s="28" t="s">
        <v>73</v>
      </c>
      <c r="D8" s="19"/>
      <c r="E8" s="18" t="s">
        <v>76</v>
      </c>
      <c r="F8" s="18"/>
      <c r="G8" s="36" t="s">
        <v>80</v>
      </c>
      <c r="I8" s="50" t="s">
        <v>271</v>
      </c>
    </row>
    <row r="9" spans="1:10" ht="15" thickBot="1" x14ac:dyDescent="0.35">
      <c r="C9" s="18"/>
      <c r="D9" s="18"/>
      <c r="E9" s="18"/>
      <c r="F9" s="18"/>
      <c r="G9" s="36"/>
      <c r="I9" s="49"/>
    </row>
    <row r="10" spans="1:10" x14ac:dyDescent="0.3">
      <c r="B10" t="s">
        <v>48</v>
      </c>
      <c r="C10" s="102">
        <v>0</v>
      </c>
      <c r="D10" s="19" t="s">
        <v>83</v>
      </c>
      <c r="E10" s="99">
        <v>0</v>
      </c>
      <c r="F10" s="18"/>
      <c r="G10" s="36">
        <f>C10*'Grafting Prep'!D$6/60+E10</f>
        <v>0</v>
      </c>
      <c r="I10" s="50" t="s">
        <v>253</v>
      </c>
    </row>
    <row r="11" spans="1:10" x14ac:dyDescent="0.3">
      <c r="B11" t="s">
        <v>9</v>
      </c>
      <c r="C11" s="103">
        <v>0</v>
      </c>
      <c r="D11" s="19" t="s">
        <v>83</v>
      </c>
      <c r="E11" s="100">
        <v>0</v>
      </c>
      <c r="G11" s="36">
        <f>C11*'Grafting Prep'!D$6/60+E11</f>
        <v>0</v>
      </c>
      <c r="I11" s="50" t="s">
        <v>254</v>
      </c>
    </row>
    <row r="12" spans="1:10" ht="15" thickBot="1" x14ac:dyDescent="0.35">
      <c r="B12" t="s">
        <v>195</v>
      </c>
      <c r="C12" s="104">
        <v>0</v>
      </c>
      <c r="D12" s="19" t="s">
        <v>83</v>
      </c>
      <c r="E12" s="101">
        <v>32</v>
      </c>
      <c r="G12" s="36">
        <f>C12*'Grafting Prep'!D$6/60+E12</f>
        <v>32</v>
      </c>
      <c r="I12" s="50" t="s">
        <v>255</v>
      </c>
    </row>
    <row r="13" spans="1:10" x14ac:dyDescent="0.3">
      <c r="C13" s="2"/>
      <c r="G13" s="40"/>
      <c r="I13" s="50"/>
    </row>
    <row r="14" spans="1:10" x14ac:dyDescent="0.3">
      <c r="B14" t="s">
        <v>113</v>
      </c>
      <c r="C14" s="29">
        <f>(G10*Parameters!D$11+G11*Parameters!D$12+G12*Parameters!D$13)</f>
        <v>576</v>
      </c>
      <c r="G14" s="40"/>
      <c r="H14" s="2"/>
      <c r="I14" s="50"/>
    </row>
    <row r="15" spans="1:10" x14ac:dyDescent="0.3">
      <c r="B15" s="6"/>
      <c r="C15" s="6"/>
      <c r="D15" s="2"/>
      <c r="F15" s="2"/>
      <c r="H15" s="2"/>
      <c r="I15" s="50"/>
    </row>
    <row r="16" spans="1:10" x14ac:dyDescent="0.3">
      <c r="A16" s="2">
        <v>2</v>
      </c>
      <c r="B16" s="22" t="s">
        <v>273</v>
      </c>
      <c r="H16" s="2"/>
      <c r="I16" s="50"/>
    </row>
    <row r="17" spans="1:10" x14ac:dyDescent="0.3">
      <c r="B17" s="6"/>
      <c r="C17" s="6"/>
      <c r="D17" s="2"/>
      <c r="F17" s="2"/>
      <c r="H17" s="2"/>
      <c r="I17" s="50"/>
    </row>
    <row r="18" spans="1:10" x14ac:dyDescent="0.3">
      <c r="D18" s="1"/>
      <c r="E18" s="1"/>
      <c r="F18" s="1"/>
      <c r="G18" s="1"/>
      <c r="H18" s="1"/>
      <c r="I18" s="50"/>
    </row>
    <row r="19" spans="1:10" x14ac:dyDescent="0.3">
      <c r="C19" s="2" t="s">
        <v>11</v>
      </c>
      <c r="E19" s="2" t="s">
        <v>12</v>
      </c>
      <c r="G19" s="41" t="s">
        <v>20</v>
      </c>
      <c r="I19" s="50"/>
    </row>
    <row r="20" spans="1:10" x14ac:dyDescent="0.3">
      <c r="B20" s="6" t="s">
        <v>18</v>
      </c>
      <c r="C20" s="7" t="s">
        <v>72</v>
      </c>
      <c r="E20" s="7" t="s">
        <v>75</v>
      </c>
      <c r="G20" s="41" t="s">
        <v>79</v>
      </c>
      <c r="H20" s="2"/>
      <c r="I20" s="50"/>
    </row>
    <row r="21" spans="1:10" x14ac:dyDescent="0.3">
      <c r="B21" s="6"/>
      <c r="C21" s="28" t="s">
        <v>73</v>
      </c>
      <c r="D21" s="19"/>
      <c r="E21" s="18" t="s">
        <v>76</v>
      </c>
      <c r="F21" s="18"/>
      <c r="G21" s="36" t="s">
        <v>80</v>
      </c>
      <c r="H21" s="1"/>
      <c r="I21" s="50"/>
    </row>
    <row r="22" spans="1:10" ht="15" thickBot="1" x14ac:dyDescent="0.35">
      <c r="C22" s="18"/>
      <c r="D22" s="18"/>
      <c r="E22" s="18"/>
      <c r="F22" s="18"/>
      <c r="G22" s="36"/>
      <c r="H22" s="1"/>
      <c r="I22" s="50"/>
    </row>
    <row r="23" spans="1:10" x14ac:dyDescent="0.3">
      <c r="B23" t="s">
        <v>48</v>
      </c>
      <c r="C23" s="102">
        <v>0</v>
      </c>
      <c r="D23" s="19" t="s">
        <v>83</v>
      </c>
      <c r="E23" s="99">
        <v>0</v>
      </c>
      <c r="F23" s="18"/>
      <c r="G23" s="36">
        <f>C23*'Grafting Prep'!E$6/60+E23</f>
        <v>0</v>
      </c>
      <c r="H23" s="1"/>
      <c r="I23" s="50" t="s">
        <v>253</v>
      </c>
    </row>
    <row r="24" spans="1:10" x14ac:dyDescent="0.3">
      <c r="B24" t="s">
        <v>9</v>
      </c>
      <c r="C24" s="103">
        <v>0</v>
      </c>
      <c r="D24" s="19" t="s">
        <v>83</v>
      </c>
      <c r="E24" s="100">
        <v>0</v>
      </c>
      <c r="G24" s="36">
        <f>C24*'Grafting Prep'!E$6/60+E24</f>
        <v>0</v>
      </c>
      <c r="H24" s="2"/>
      <c r="I24" s="50" t="s">
        <v>254</v>
      </c>
      <c r="J24" s="2"/>
    </row>
    <row r="25" spans="1:10" ht="15" thickBot="1" x14ac:dyDescent="0.35">
      <c r="B25" t="s">
        <v>195</v>
      </c>
      <c r="C25" s="104">
        <v>0</v>
      </c>
      <c r="D25" s="19" t="s">
        <v>83</v>
      </c>
      <c r="E25" s="101">
        <v>16</v>
      </c>
      <c r="G25" s="36">
        <f>C25*'Grafting Prep'!E$6/60+E25</f>
        <v>16</v>
      </c>
      <c r="H25" s="2"/>
      <c r="I25" s="51" t="s">
        <v>256</v>
      </c>
      <c r="J25" s="2"/>
    </row>
    <row r="26" spans="1:10" x14ac:dyDescent="0.3">
      <c r="C26" s="2"/>
      <c r="G26" s="40"/>
      <c r="H26" s="5"/>
      <c r="I26" s="50"/>
      <c r="J26" s="5"/>
    </row>
    <row r="27" spans="1:10" x14ac:dyDescent="0.3">
      <c r="B27" t="s">
        <v>221</v>
      </c>
      <c r="C27" s="29">
        <f>(G23*Parameters!D$11+G24*Parameters!D$12+G25*Parameters!D$13)</f>
        <v>288</v>
      </c>
      <c r="G27" s="40"/>
      <c r="I27" s="50"/>
    </row>
    <row r="28" spans="1:10" x14ac:dyDescent="0.3">
      <c r="B28" s="6"/>
      <c r="C28" s="6"/>
      <c r="I28" s="50"/>
    </row>
    <row r="29" spans="1:10" x14ac:dyDescent="0.3">
      <c r="B29" s="6"/>
      <c r="C29" s="6"/>
      <c r="I29" s="50"/>
    </row>
    <row r="30" spans="1:10" x14ac:dyDescent="0.3">
      <c r="A30" s="2">
        <v>3</v>
      </c>
      <c r="B30" s="22" t="s">
        <v>274</v>
      </c>
      <c r="I30" s="50"/>
    </row>
    <row r="31" spans="1:10" x14ac:dyDescent="0.3">
      <c r="I31" s="50"/>
    </row>
    <row r="32" spans="1:10" x14ac:dyDescent="0.3">
      <c r="C32" s="2" t="s">
        <v>11</v>
      </c>
      <c r="E32" s="2" t="s">
        <v>12</v>
      </c>
      <c r="G32" s="41" t="s">
        <v>20</v>
      </c>
      <c r="H32" s="2"/>
      <c r="I32" s="50"/>
    </row>
    <row r="33" spans="1:9" x14ac:dyDescent="0.3">
      <c r="B33" s="6" t="s">
        <v>220</v>
      </c>
      <c r="C33" s="7" t="s">
        <v>72</v>
      </c>
      <c r="E33" s="7" t="s">
        <v>75</v>
      </c>
      <c r="G33" s="41" t="s">
        <v>79</v>
      </c>
      <c r="H33" s="1"/>
      <c r="I33" s="50"/>
    </row>
    <row r="34" spans="1:9" x14ac:dyDescent="0.3">
      <c r="B34" s="6"/>
      <c r="C34" s="28" t="s">
        <v>73</v>
      </c>
      <c r="D34" s="19"/>
      <c r="E34" s="18" t="s">
        <v>76</v>
      </c>
      <c r="F34" s="18"/>
      <c r="G34" s="36" t="s">
        <v>80</v>
      </c>
      <c r="H34" s="1"/>
      <c r="I34" s="50"/>
    </row>
    <row r="35" spans="1:9" ht="15" thickBot="1" x14ac:dyDescent="0.35">
      <c r="C35" s="18"/>
      <c r="D35" s="18"/>
      <c r="E35" s="18"/>
      <c r="F35" s="18"/>
      <c r="G35" s="36"/>
      <c r="H35" s="1"/>
      <c r="I35" s="50"/>
    </row>
    <row r="36" spans="1:9" x14ac:dyDescent="0.3">
      <c r="B36" t="s">
        <v>48</v>
      </c>
      <c r="C36" s="102">
        <v>0</v>
      </c>
      <c r="D36" s="19" t="s">
        <v>83</v>
      </c>
      <c r="E36" s="99">
        <v>0</v>
      </c>
      <c r="F36" s="18"/>
      <c r="G36" s="36">
        <f>C36*'Grafting Prep'!E$6/60+E36</f>
        <v>0</v>
      </c>
      <c r="H36" s="1"/>
      <c r="I36" s="50" t="s">
        <v>253</v>
      </c>
    </row>
    <row r="37" spans="1:9" x14ac:dyDescent="0.3">
      <c r="B37" t="s">
        <v>9</v>
      </c>
      <c r="C37" s="103">
        <v>0</v>
      </c>
      <c r="D37" s="19" t="s">
        <v>83</v>
      </c>
      <c r="E37" s="100">
        <v>0</v>
      </c>
      <c r="G37" s="36">
        <f>C37*'Grafting Prep'!E$6/60+E37</f>
        <v>0</v>
      </c>
      <c r="I37" s="50" t="s">
        <v>254</v>
      </c>
    </row>
    <row r="38" spans="1:9" ht="15" thickBot="1" x14ac:dyDescent="0.35">
      <c r="B38" t="s">
        <v>195</v>
      </c>
      <c r="C38" s="104">
        <v>0</v>
      </c>
      <c r="D38" s="19" t="s">
        <v>83</v>
      </c>
      <c r="E38" s="101">
        <v>88</v>
      </c>
      <c r="G38" s="36">
        <f>C38*'Grafting Prep'!E$6/60+E38</f>
        <v>88</v>
      </c>
      <c r="H38" s="2"/>
      <c r="I38" s="51" t="s">
        <v>257</v>
      </c>
    </row>
    <row r="39" spans="1:9" x14ac:dyDescent="0.3">
      <c r="C39" s="2"/>
      <c r="G39" s="40"/>
      <c r="H39" s="1"/>
      <c r="I39" s="50"/>
    </row>
    <row r="40" spans="1:9" x14ac:dyDescent="0.3">
      <c r="B40" t="s">
        <v>222</v>
      </c>
      <c r="C40" s="29">
        <f>(G36*Parameters!D$11+G37*Parameters!D$12+G38*Parameters!D$13)</f>
        <v>1584</v>
      </c>
      <c r="G40" s="40"/>
      <c r="H40" s="1"/>
      <c r="I40" s="50"/>
    </row>
    <row r="41" spans="1:9" x14ac:dyDescent="0.3">
      <c r="D41" s="1"/>
      <c r="E41" s="1"/>
      <c r="F41" s="1"/>
      <c r="G41" s="1"/>
      <c r="H41" s="1"/>
      <c r="I41" s="50"/>
    </row>
    <row r="42" spans="1:9" x14ac:dyDescent="0.3">
      <c r="G42" s="1"/>
      <c r="H42" s="1"/>
      <c r="I42" s="50"/>
    </row>
    <row r="43" spans="1:9" x14ac:dyDescent="0.3">
      <c r="A43" s="2">
        <v>4</v>
      </c>
      <c r="B43" s="22" t="s">
        <v>275</v>
      </c>
      <c r="G43" s="1"/>
      <c r="H43" s="1"/>
      <c r="I43" s="50"/>
    </row>
    <row r="44" spans="1:9" x14ac:dyDescent="0.3">
      <c r="G44" s="1"/>
      <c r="H44" s="1"/>
      <c r="I44" s="50"/>
    </row>
    <row r="45" spans="1:9" x14ac:dyDescent="0.3">
      <c r="C45" s="2" t="s">
        <v>11</v>
      </c>
      <c r="E45" s="2" t="s">
        <v>12</v>
      </c>
      <c r="G45" s="41" t="s">
        <v>20</v>
      </c>
      <c r="H45" s="2"/>
      <c r="I45" s="50"/>
    </row>
    <row r="46" spans="1:9" x14ac:dyDescent="0.3">
      <c r="B46" s="6" t="s">
        <v>21</v>
      </c>
      <c r="C46" s="7" t="s">
        <v>72</v>
      </c>
      <c r="E46" s="7" t="s">
        <v>75</v>
      </c>
      <c r="G46" s="41" t="s">
        <v>79</v>
      </c>
      <c r="H46" s="1"/>
      <c r="I46" s="50"/>
    </row>
    <row r="47" spans="1:9" x14ac:dyDescent="0.3">
      <c r="B47" s="6"/>
      <c r="C47" s="28" t="s">
        <v>73</v>
      </c>
      <c r="D47" s="19"/>
      <c r="E47" s="18" t="s">
        <v>76</v>
      </c>
      <c r="F47" s="18"/>
      <c r="G47" s="36" t="s">
        <v>80</v>
      </c>
      <c r="H47" s="1"/>
      <c r="I47" s="50"/>
    </row>
    <row r="48" spans="1:9" ht="15" thickBot="1" x14ac:dyDescent="0.35">
      <c r="C48" s="18"/>
      <c r="D48" s="18"/>
      <c r="E48" s="18"/>
      <c r="F48" s="18"/>
      <c r="G48" s="36"/>
      <c r="H48" s="1"/>
      <c r="I48" s="50"/>
    </row>
    <row r="49" spans="1:9" x14ac:dyDescent="0.3">
      <c r="B49" t="s">
        <v>48</v>
      </c>
      <c r="C49" s="102">
        <v>0</v>
      </c>
      <c r="D49" s="19" t="s">
        <v>83</v>
      </c>
      <c r="E49" s="99">
        <v>0</v>
      </c>
      <c r="F49" s="18"/>
      <c r="G49" s="36">
        <f>C49*'Grafting Prep'!E$6/60+E49</f>
        <v>0</v>
      </c>
      <c r="H49" s="1"/>
      <c r="I49" s="50" t="s">
        <v>253</v>
      </c>
    </row>
    <row r="50" spans="1:9" x14ac:dyDescent="0.3">
      <c r="B50" t="s">
        <v>9</v>
      </c>
      <c r="C50" s="103">
        <v>0</v>
      </c>
      <c r="D50" s="19" t="s">
        <v>83</v>
      </c>
      <c r="E50" s="100">
        <v>0</v>
      </c>
      <c r="G50" s="36">
        <f>C50*'Grafting Prep'!E$6/60+E50</f>
        <v>0</v>
      </c>
      <c r="I50" s="50" t="s">
        <v>254</v>
      </c>
    </row>
    <row r="51" spans="1:9" ht="15" thickBot="1" x14ac:dyDescent="0.35">
      <c r="B51" t="s">
        <v>195</v>
      </c>
      <c r="C51" s="104">
        <v>0</v>
      </c>
      <c r="D51" s="19" t="s">
        <v>83</v>
      </c>
      <c r="E51" s="101">
        <v>112</v>
      </c>
      <c r="G51" s="36">
        <f>C51*'Grafting Prep'!E$6/60+E51</f>
        <v>112</v>
      </c>
      <c r="H51" s="2"/>
      <c r="I51" s="51" t="s">
        <v>258</v>
      </c>
    </row>
    <row r="52" spans="1:9" x14ac:dyDescent="0.3">
      <c r="C52" s="2"/>
      <c r="G52" s="40"/>
      <c r="H52" s="1"/>
    </row>
    <row r="53" spans="1:9" x14ac:dyDescent="0.3">
      <c r="B53" t="s">
        <v>228</v>
      </c>
      <c r="C53" s="29">
        <f>(G49*Parameters!D$11+G50*Parameters!D$12+G51*Parameters!D$13)</f>
        <v>2016</v>
      </c>
      <c r="G53" s="40"/>
      <c r="H53" s="1"/>
    </row>
    <row r="54" spans="1:9" x14ac:dyDescent="0.3">
      <c r="B54" s="6"/>
      <c r="C54" s="6"/>
      <c r="D54" s="2"/>
      <c r="F54" s="2"/>
      <c r="H54" s="2"/>
    </row>
    <row r="55" spans="1:9" x14ac:dyDescent="0.3">
      <c r="H55" s="2"/>
    </row>
    <row r="56" spans="1:9" x14ac:dyDescent="0.3">
      <c r="A56" s="2">
        <v>5</v>
      </c>
      <c r="B56" s="22" t="s">
        <v>278</v>
      </c>
      <c r="H56" s="2"/>
    </row>
    <row r="58" spans="1:9" ht="15" thickBot="1" x14ac:dyDescent="0.35">
      <c r="C58" t="s">
        <v>276</v>
      </c>
      <c r="E58" t="s">
        <v>277</v>
      </c>
      <c r="G58" t="s">
        <v>230</v>
      </c>
      <c r="H58" s="5"/>
    </row>
    <row r="59" spans="1:9" ht="15" thickBot="1" x14ac:dyDescent="0.35">
      <c r="B59" t="s">
        <v>22</v>
      </c>
      <c r="C59" s="98">
        <v>0.08</v>
      </c>
      <c r="E59" s="97">
        <v>2</v>
      </c>
      <c r="G59" s="29">
        <f>C59*E59*'Grafting Prep'!D$6</f>
        <v>43.52</v>
      </c>
      <c r="H59" s="5"/>
      <c r="I59" s="24" t="s">
        <v>283</v>
      </c>
    </row>
    <row r="60" spans="1:9" ht="15" thickBot="1" x14ac:dyDescent="0.35">
      <c r="B60" t="s">
        <v>17</v>
      </c>
      <c r="C60" s="98">
        <v>0.15</v>
      </c>
      <c r="E60" s="97">
        <v>0</v>
      </c>
      <c r="G60" s="29">
        <f>C60*E60*'Grafting Prep'!D$6</f>
        <v>0</v>
      </c>
      <c r="H60" s="5"/>
      <c r="I60" s="24" t="s">
        <v>284</v>
      </c>
    </row>
    <row r="61" spans="1:9" ht="15" thickBot="1" x14ac:dyDescent="0.35">
      <c r="B61" t="s">
        <v>279</v>
      </c>
      <c r="C61" s="98">
        <v>0.25</v>
      </c>
      <c r="E61" s="97">
        <v>2</v>
      </c>
      <c r="G61" s="29">
        <f>C61*E61*'Grafting Prep'!D$6</f>
        <v>136</v>
      </c>
      <c r="H61" s="5"/>
      <c r="I61" s="24" t="s">
        <v>285</v>
      </c>
    </row>
    <row r="62" spans="1:9" x14ac:dyDescent="0.3">
      <c r="G62" s="2"/>
      <c r="H62" s="5"/>
    </row>
    <row r="63" spans="1:9" x14ac:dyDescent="0.3">
      <c r="B63" t="s">
        <v>280</v>
      </c>
      <c r="C63" s="29">
        <f>SUM(G59:G61)</f>
        <v>179.52</v>
      </c>
    </row>
    <row r="65" spans="1:8" x14ac:dyDescent="0.3">
      <c r="A65" s="2">
        <v>6</v>
      </c>
      <c r="B65" s="22" t="s">
        <v>281</v>
      </c>
      <c r="E65" s="2"/>
      <c r="F65" s="2"/>
      <c r="G65" s="5"/>
      <c r="H65" s="9"/>
    </row>
    <row r="66" spans="1:8" ht="15" thickBot="1" x14ac:dyDescent="0.35">
      <c r="E66" s="2"/>
      <c r="F66" s="2"/>
      <c r="G66" s="5"/>
      <c r="H66" s="9"/>
    </row>
    <row r="67" spans="1:8" ht="15" thickBot="1" x14ac:dyDescent="0.35">
      <c r="B67" s="6" t="s">
        <v>217</v>
      </c>
      <c r="C67" s="108">
        <v>0</v>
      </c>
      <c r="D67" s="19" t="s">
        <v>89</v>
      </c>
      <c r="E67" s="1"/>
      <c r="G67" s="5"/>
      <c r="H67" s="9"/>
    </row>
    <row r="68" spans="1:8" x14ac:dyDescent="0.3">
      <c r="C68" s="24"/>
      <c r="D68" s="19"/>
      <c r="E68" s="1"/>
      <c r="F68" s="1"/>
      <c r="G68" s="1"/>
      <c r="H68" s="9"/>
    </row>
    <row r="69" spans="1:8" ht="15" thickBot="1" x14ac:dyDescent="0.35">
      <c r="B69" s="6" t="s">
        <v>404</v>
      </c>
      <c r="C69" s="44">
        <f>C14+C27+C40+C53+C63+C67</f>
        <v>4643.5200000000004</v>
      </c>
      <c r="D69" s="47" t="s">
        <v>380</v>
      </c>
      <c r="E69" s="22" t="s">
        <v>402</v>
      </c>
      <c r="H69" s="3"/>
    </row>
    <row r="70" spans="1:8" ht="15" thickTop="1" x14ac:dyDescent="0.3">
      <c r="B70" s="21"/>
      <c r="C70" s="16"/>
      <c r="E70" s="22" t="s">
        <v>403</v>
      </c>
      <c r="F70" s="1"/>
      <c r="G70" s="1"/>
      <c r="H70" s="3"/>
    </row>
    <row r="71" spans="1:8" ht="15" thickBot="1" x14ac:dyDescent="0.35">
      <c r="D71" s="1"/>
      <c r="E71" s="1"/>
      <c r="F71" s="1"/>
      <c r="G71" s="1"/>
      <c r="H71" s="3"/>
    </row>
    <row r="72" spans="1:8" ht="15.6" thickTop="1" thickBot="1" x14ac:dyDescent="0.35">
      <c r="B72" s="158" t="s">
        <v>374</v>
      </c>
      <c r="C72" s="162"/>
      <c r="D72" s="1"/>
      <c r="E72" s="2"/>
      <c r="F72" s="2"/>
      <c r="G72" s="2"/>
      <c r="H72" s="1"/>
    </row>
    <row r="73" spans="1:8" ht="15" thickTop="1" x14ac:dyDescent="0.3">
      <c r="B73" s="6"/>
      <c r="C73" s="6"/>
      <c r="D73" s="2"/>
      <c r="E73" s="2"/>
      <c r="F73" s="2"/>
      <c r="G73" s="2"/>
      <c r="H73" s="1"/>
    </row>
    <row r="74" spans="1:8" x14ac:dyDescent="0.3">
      <c r="D74" s="3"/>
      <c r="E74" s="1"/>
      <c r="F74" s="3"/>
      <c r="G74" s="1"/>
      <c r="H74" s="9"/>
    </row>
    <row r="75" spans="1:8" x14ac:dyDescent="0.3">
      <c r="B75" s="8"/>
      <c r="C75" s="8"/>
    </row>
    <row r="76" spans="1:8" x14ac:dyDescent="0.3">
      <c r="B76" s="8"/>
      <c r="C76" s="8"/>
      <c r="H76" s="9"/>
    </row>
    <row r="77" spans="1:8" x14ac:dyDescent="0.3">
      <c r="B77" s="8"/>
      <c r="C77" s="8"/>
      <c r="H77" s="9"/>
    </row>
    <row r="78" spans="1:8" x14ac:dyDescent="0.3">
      <c r="B78" s="8"/>
      <c r="C78" s="8"/>
      <c r="H78" s="9"/>
    </row>
  </sheetData>
  <sheetProtection sheet="1" objects="1" scenarios="1" selectLockedCells="1"/>
  <mergeCells count="1">
    <mergeCell ref="B72:C7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558-179C-401B-985D-C6B3F38EB3E2}">
  <dimension ref="A1:K54"/>
  <sheetViews>
    <sheetView workbookViewId="0">
      <selection activeCell="B1" sqref="B1"/>
    </sheetView>
  </sheetViews>
  <sheetFormatPr defaultRowHeight="14.4" x14ac:dyDescent="0.3"/>
  <cols>
    <col min="2" max="2" width="25.77734375" customWidth="1"/>
    <col min="3" max="7" width="15.6640625" customWidth="1"/>
    <col min="9" max="9" width="12.77734375" customWidth="1"/>
  </cols>
  <sheetData>
    <row r="1" spans="1:11" ht="18" x14ac:dyDescent="0.35">
      <c r="A1" s="35" t="s">
        <v>141</v>
      </c>
      <c r="B1" s="109"/>
    </row>
    <row r="2" spans="1:11" ht="18" x14ac:dyDescent="0.35">
      <c r="A2" s="45"/>
      <c r="B2" s="22" t="s">
        <v>418</v>
      </c>
    </row>
    <row r="3" spans="1:11" ht="18" x14ac:dyDescent="0.35">
      <c r="A3" s="2" t="s">
        <v>251</v>
      </c>
      <c r="B3" s="35"/>
    </row>
    <row r="4" spans="1:11" x14ac:dyDescent="0.3">
      <c r="A4" s="2">
        <v>1</v>
      </c>
      <c r="B4" s="22" t="s">
        <v>249</v>
      </c>
      <c r="C4" s="25"/>
      <c r="D4" s="25"/>
      <c r="E4" s="25"/>
      <c r="F4" s="25"/>
      <c r="I4" s="61" t="s">
        <v>355</v>
      </c>
      <c r="K4" s="81" t="s">
        <v>407</v>
      </c>
    </row>
    <row r="5" spans="1:11" ht="15" thickBot="1" x14ac:dyDescent="0.35">
      <c r="A5" s="2"/>
      <c r="I5" s="61" t="s">
        <v>356</v>
      </c>
      <c r="K5" s="81" t="s">
        <v>406</v>
      </c>
    </row>
    <row r="6" spans="1:11" ht="15" thickBot="1" x14ac:dyDescent="0.35">
      <c r="A6" s="2"/>
      <c r="B6" s="6" t="s">
        <v>306</v>
      </c>
      <c r="F6" s="79"/>
      <c r="I6" s="62" t="str">
        <f>IF(F6="x",SUM(G41:G50),"")</f>
        <v/>
      </c>
      <c r="K6" s="82" t="str">
        <f>IF(F6="x",G39,"")</f>
        <v/>
      </c>
    </row>
    <row r="7" spans="1:11" ht="15" thickBot="1" x14ac:dyDescent="0.35">
      <c r="A7" s="2"/>
      <c r="B7" s="6" t="s">
        <v>305</v>
      </c>
      <c r="F7" s="79" t="s">
        <v>8</v>
      </c>
      <c r="G7" s="22" t="str">
        <f>IF(F6=F7,"ERROR--choose only one","")</f>
        <v/>
      </c>
      <c r="I7" s="62">
        <f>IF(F7="x",SUM(F41:F50),"")</f>
        <v>2359.0700000000002</v>
      </c>
      <c r="K7" s="82">
        <f>IF(F7="x",F39,"")</f>
        <v>261.18</v>
      </c>
    </row>
    <row r="8" spans="1:11" x14ac:dyDescent="0.3">
      <c r="A8" s="2"/>
      <c r="B8" s="22"/>
      <c r="G8" s="62"/>
    </row>
    <row r="9" spans="1:11" x14ac:dyDescent="0.3">
      <c r="A9" s="2">
        <v>2</v>
      </c>
      <c r="B9" s="22" t="s">
        <v>427</v>
      </c>
    </row>
    <row r="10" spans="1:11" x14ac:dyDescent="0.3">
      <c r="B10" s="22" t="s">
        <v>250</v>
      </c>
    </row>
    <row r="12" spans="1:11" x14ac:dyDescent="0.3">
      <c r="B12" s="6" t="s">
        <v>248</v>
      </c>
    </row>
    <row r="14" spans="1:11" x14ac:dyDescent="0.3">
      <c r="B14" s="6" t="s">
        <v>28</v>
      </c>
      <c r="C14" s="2" t="s">
        <v>38</v>
      </c>
      <c r="D14" s="2" t="s">
        <v>114</v>
      </c>
      <c r="E14" s="2" t="s">
        <v>44</v>
      </c>
      <c r="F14" s="2" t="s">
        <v>115</v>
      </c>
      <c r="G14" s="24" t="s">
        <v>116</v>
      </c>
    </row>
    <row r="15" spans="1:11" x14ac:dyDescent="0.3">
      <c r="B15" s="6"/>
      <c r="C15" s="6"/>
      <c r="D15" s="6"/>
      <c r="E15" s="6"/>
      <c r="F15" s="6"/>
      <c r="G15" s="6"/>
    </row>
    <row r="16" spans="1:11" x14ac:dyDescent="0.3">
      <c r="B16" s="6" t="s">
        <v>106</v>
      </c>
    </row>
    <row r="17" spans="2:9" ht="15" thickBot="1" x14ac:dyDescent="0.35">
      <c r="B17" t="s">
        <v>117</v>
      </c>
      <c r="C17" s="1" t="s">
        <v>118</v>
      </c>
      <c r="D17" s="5">
        <v>38</v>
      </c>
      <c r="E17" s="1">
        <v>2</v>
      </c>
      <c r="F17" s="5">
        <v>76</v>
      </c>
      <c r="G17" s="80">
        <v>0</v>
      </c>
    </row>
    <row r="18" spans="2:9" ht="15" thickBot="1" x14ac:dyDescent="0.35">
      <c r="B18" s="34" t="s">
        <v>107</v>
      </c>
      <c r="C18" s="1"/>
      <c r="D18" s="5"/>
      <c r="E18" s="1"/>
      <c r="F18" s="5"/>
      <c r="G18" s="46"/>
    </row>
    <row r="19" spans="2:9" ht="15" thickBot="1" x14ac:dyDescent="0.35">
      <c r="B19" t="s">
        <v>30</v>
      </c>
      <c r="C19" s="1" t="s">
        <v>40</v>
      </c>
      <c r="D19" s="5">
        <v>0.71</v>
      </c>
      <c r="E19" s="1">
        <v>40</v>
      </c>
      <c r="F19" s="5">
        <v>28.4</v>
      </c>
      <c r="G19" s="80">
        <v>0</v>
      </c>
    </row>
    <row r="20" spans="2:9" ht="15" thickBot="1" x14ac:dyDescent="0.35">
      <c r="B20" t="s">
        <v>119</v>
      </c>
      <c r="C20" s="1" t="s">
        <v>40</v>
      </c>
      <c r="D20" s="5">
        <v>0.55000000000000004</v>
      </c>
      <c r="E20" s="1">
        <v>75</v>
      </c>
      <c r="F20" s="5">
        <v>41.25</v>
      </c>
      <c r="G20" s="80">
        <v>0</v>
      </c>
    </row>
    <row r="21" spans="2:9" ht="15" thickBot="1" x14ac:dyDescent="0.35">
      <c r="B21" t="s">
        <v>120</v>
      </c>
      <c r="C21" s="1" t="s">
        <v>41</v>
      </c>
      <c r="D21" s="5">
        <v>18</v>
      </c>
      <c r="E21" s="1">
        <v>15</v>
      </c>
      <c r="F21" s="5">
        <v>270</v>
      </c>
      <c r="G21" s="80">
        <v>0</v>
      </c>
    </row>
    <row r="22" spans="2:9" ht="15" thickBot="1" x14ac:dyDescent="0.35">
      <c r="B22" t="s">
        <v>121</v>
      </c>
      <c r="C22" s="1" t="s">
        <v>41</v>
      </c>
      <c r="D22" s="5">
        <v>20</v>
      </c>
      <c r="E22" s="1">
        <v>3</v>
      </c>
      <c r="F22" s="5">
        <v>60</v>
      </c>
      <c r="G22" s="80">
        <v>0</v>
      </c>
    </row>
    <row r="23" spans="2:9" ht="15" thickBot="1" x14ac:dyDescent="0.35">
      <c r="B23" t="s">
        <v>142</v>
      </c>
      <c r="C23" s="1" t="s">
        <v>40</v>
      </c>
      <c r="D23" s="5">
        <v>6.02</v>
      </c>
      <c r="E23" s="1">
        <v>20</v>
      </c>
      <c r="F23" s="5">
        <v>120.4</v>
      </c>
      <c r="G23" s="80">
        <v>0</v>
      </c>
    </row>
    <row r="24" spans="2:9" ht="15" thickBot="1" x14ac:dyDescent="0.35">
      <c r="B24" t="s">
        <v>122</v>
      </c>
      <c r="C24" s="1" t="s">
        <v>43</v>
      </c>
      <c r="D24" s="5">
        <v>4.25</v>
      </c>
      <c r="E24" s="1">
        <v>13.3</v>
      </c>
      <c r="F24" s="5">
        <v>56.53</v>
      </c>
      <c r="G24" s="80">
        <v>0</v>
      </c>
    </row>
    <row r="25" spans="2:9" ht="15" thickBot="1" x14ac:dyDescent="0.35">
      <c r="B25" t="s">
        <v>123</v>
      </c>
      <c r="C25" s="1"/>
      <c r="D25" s="1"/>
      <c r="E25" s="1"/>
      <c r="F25" s="5"/>
      <c r="G25" s="80">
        <v>0</v>
      </c>
    </row>
    <row r="26" spans="2:9" ht="15" thickBot="1" x14ac:dyDescent="0.35">
      <c r="C26" s="1"/>
      <c r="D26" s="1"/>
      <c r="E26" s="1"/>
      <c r="F26" s="5"/>
      <c r="G26" s="80">
        <v>0</v>
      </c>
    </row>
    <row r="27" spans="2:9" ht="15" thickBot="1" x14ac:dyDescent="0.35">
      <c r="B27" s="6" t="s">
        <v>37</v>
      </c>
      <c r="C27" s="1"/>
      <c r="D27" s="1"/>
      <c r="E27" s="1"/>
      <c r="F27" s="5"/>
      <c r="G27" s="46"/>
    </row>
    <row r="28" spans="2:9" ht="15" thickBot="1" x14ac:dyDescent="0.35">
      <c r="B28" t="s">
        <v>124</v>
      </c>
      <c r="C28" s="1" t="s">
        <v>39</v>
      </c>
      <c r="D28" s="1"/>
      <c r="E28" s="1">
        <v>1</v>
      </c>
      <c r="F28" s="5">
        <v>11.15</v>
      </c>
      <c r="G28" s="80">
        <v>0</v>
      </c>
    </row>
    <row r="29" spans="2:9" ht="15" thickBot="1" x14ac:dyDescent="0.35">
      <c r="B29" t="s">
        <v>125</v>
      </c>
      <c r="C29" s="1" t="s">
        <v>39</v>
      </c>
      <c r="D29" s="1"/>
      <c r="E29" s="1">
        <v>1</v>
      </c>
      <c r="F29" s="77">
        <v>13.35</v>
      </c>
      <c r="G29" s="80">
        <v>0</v>
      </c>
    </row>
    <row r="30" spans="2:9" x14ac:dyDescent="0.3">
      <c r="B30" t="s">
        <v>126</v>
      </c>
      <c r="C30" s="1" t="s">
        <v>39</v>
      </c>
      <c r="D30" s="65">
        <f>Parameters!$D$6</f>
        <v>5.5E-2</v>
      </c>
      <c r="E30" s="1"/>
      <c r="F30" s="71" t="s">
        <v>79</v>
      </c>
      <c r="G30" s="69" t="s">
        <v>79</v>
      </c>
      <c r="H30" s="47" t="s">
        <v>380</v>
      </c>
      <c r="I30" s="46" t="s">
        <v>398</v>
      </c>
    </row>
    <row r="31" spans="2:9" x14ac:dyDescent="0.3">
      <c r="C31" s="1"/>
      <c r="D31" s="1"/>
      <c r="E31" s="1"/>
      <c r="F31" s="5"/>
      <c r="G31" s="70"/>
      <c r="I31" s="22" t="s">
        <v>399</v>
      </c>
    </row>
    <row r="32" spans="2:9" x14ac:dyDescent="0.3">
      <c r="B32" s="6" t="s">
        <v>127</v>
      </c>
      <c r="C32" s="1"/>
      <c r="D32" s="1"/>
      <c r="E32" s="1"/>
      <c r="F32" s="5">
        <v>697.89</v>
      </c>
      <c r="G32" s="70">
        <f>SUM(G17:G30)</f>
        <v>0</v>
      </c>
      <c r="I32" s="22"/>
    </row>
    <row r="33" spans="2:7" x14ac:dyDescent="0.3">
      <c r="C33" s="1"/>
      <c r="D33" s="1"/>
      <c r="E33" s="1"/>
      <c r="F33" s="5"/>
      <c r="G33" s="46"/>
    </row>
    <row r="34" spans="2:7" ht="15" thickBot="1" x14ac:dyDescent="0.35">
      <c r="B34" s="6" t="s">
        <v>108</v>
      </c>
      <c r="C34" s="1"/>
      <c r="D34" s="1"/>
      <c r="E34" s="1"/>
      <c r="F34" s="5"/>
      <c r="G34" s="46"/>
    </row>
    <row r="35" spans="2:7" ht="15" thickBot="1" x14ac:dyDescent="0.35">
      <c r="B35" t="s">
        <v>124</v>
      </c>
      <c r="C35" s="1" t="s">
        <v>39</v>
      </c>
      <c r="D35" s="1"/>
      <c r="E35" s="1">
        <v>1</v>
      </c>
      <c r="F35" s="5">
        <v>35.840000000000003</v>
      </c>
      <c r="G35" s="80">
        <v>0</v>
      </c>
    </row>
    <row r="36" spans="2:7" ht="15" thickBot="1" x14ac:dyDescent="0.35">
      <c r="B36" t="s">
        <v>128</v>
      </c>
      <c r="C36" s="1" t="s">
        <v>39</v>
      </c>
      <c r="D36" s="1"/>
      <c r="E36" s="1">
        <v>1</v>
      </c>
      <c r="F36" s="5">
        <v>25.34</v>
      </c>
      <c r="G36" s="80">
        <v>0</v>
      </c>
    </row>
    <row r="37" spans="2:7" ht="15" thickBot="1" x14ac:dyDescent="0.35">
      <c r="B37" t="s">
        <v>129</v>
      </c>
      <c r="C37" s="1" t="s">
        <v>39</v>
      </c>
      <c r="D37" s="1"/>
      <c r="E37" s="1">
        <v>1</v>
      </c>
      <c r="F37" s="5">
        <v>200</v>
      </c>
      <c r="G37" s="80">
        <v>0</v>
      </c>
    </row>
    <row r="38" spans="2:7" x14ac:dyDescent="0.3">
      <c r="D38" s="1"/>
      <c r="E38" s="1"/>
      <c r="F38" s="5"/>
      <c r="G38" s="46"/>
    </row>
    <row r="39" spans="2:7" x14ac:dyDescent="0.3">
      <c r="B39" s="6" t="s">
        <v>130</v>
      </c>
      <c r="D39" s="1"/>
      <c r="E39" s="1"/>
      <c r="F39" s="5">
        <v>261.18</v>
      </c>
      <c r="G39" s="70">
        <f>SUM(G35:G37)</f>
        <v>0</v>
      </c>
    </row>
    <row r="40" spans="2:7" x14ac:dyDescent="0.3">
      <c r="B40" s="6"/>
      <c r="D40" s="1"/>
      <c r="E40" s="1"/>
      <c r="F40" s="5"/>
      <c r="G40" s="70"/>
    </row>
    <row r="41" spans="2:7" x14ac:dyDescent="0.3">
      <c r="B41" s="6" t="s">
        <v>131</v>
      </c>
      <c r="D41" s="1"/>
      <c r="E41" s="1"/>
      <c r="F41" s="5">
        <v>959.07</v>
      </c>
      <c r="G41" s="70">
        <f>G32+G39</f>
        <v>0</v>
      </c>
    </row>
    <row r="42" spans="2:7" x14ac:dyDescent="0.3">
      <c r="G42" s="46"/>
    </row>
    <row r="43" spans="2:7" x14ac:dyDescent="0.3">
      <c r="B43" t="s">
        <v>132</v>
      </c>
      <c r="G43" s="46"/>
    </row>
    <row r="44" spans="2:7" x14ac:dyDescent="0.3">
      <c r="G44" s="46"/>
    </row>
    <row r="45" spans="2:7" ht="15" thickBot="1" x14ac:dyDescent="0.35">
      <c r="C45" s="6" t="s">
        <v>110</v>
      </c>
      <c r="G45" s="46"/>
    </row>
    <row r="46" spans="2:7" ht="15" thickBot="1" x14ac:dyDescent="0.35">
      <c r="C46" t="s">
        <v>29</v>
      </c>
      <c r="E46" s="1" t="s">
        <v>136</v>
      </c>
      <c r="F46" s="80">
        <v>1000</v>
      </c>
      <c r="G46" s="80">
        <v>0</v>
      </c>
    </row>
    <row r="47" spans="2:7" ht="15" thickBot="1" x14ac:dyDescent="0.35">
      <c r="C47" t="s">
        <v>133</v>
      </c>
      <c r="E47" s="1" t="s">
        <v>137</v>
      </c>
      <c r="F47" s="80"/>
      <c r="G47" s="80"/>
    </row>
    <row r="48" spans="2:7" ht="15" thickBot="1" x14ac:dyDescent="0.35">
      <c r="C48" t="s">
        <v>134</v>
      </c>
      <c r="E48" s="1" t="s">
        <v>138</v>
      </c>
      <c r="F48" s="80"/>
      <c r="G48" s="80"/>
    </row>
    <row r="49" spans="3:7" ht="15" thickBot="1" x14ac:dyDescent="0.35">
      <c r="C49" t="s">
        <v>135</v>
      </c>
      <c r="E49" s="1" t="s">
        <v>139</v>
      </c>
      <c r="F49" s="80"/>
      <c r="G49" s="80"/>
    </row>
    <row r="50" spans="3:7" ht="15" thickBot="1" x14ac:dyDescent="0.35">
      <c r="C50" t="s">
        <v>111</v>
      </c>
      <c r="E50" s="1" t="s">
        <v>140</v>
      </c>
      <c r="F50" s="80">
        <v>400</v>
      </c>
      <c r="G50" s="80">
        <v>0</v>
      </c>
    </row>
    <row r="51" spans="3:7" x14ac:dyDescent="0.3">
      <c r="C51" t="s">
        <v>112</v>
      </c>
    </row>
    <row r="52" spans="3:7" ht="15" thickBot="1" x14ac:dyDescent="0.35"/>
    <row r="53" spans="3:7" ht="15.6" thickTop="1" thickBot="1" x14ac:dyDescent="0.35">
      <c r="F53" s="158" t="s">
        <v>374</v>
      </c>
      <c r="G53" s="162"/>
    </row>
    <row r="54" spans="3:7" ht="15" thickTop="1" x14ac:dyDescent="0.3"/>
  </sheetData>
  <sheetProtection sheet="1" objects="1" scenarios="1" selectLockedCells="1"/>
  <mergeCells count="1">
    <mergeCell ref="F53:G5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0A13E-AFB2-4E7C-95D5-5AE6C01CEEB2}">
  <dimension ref="A1:L65"/>
  <sheetViews>
    <sheetView workbookViewId="0">
      <selection activeCell="B1" sqref="B1"/>
    </sheetView>
  </sheetViews>
  <sheetFormatPr defaultRowHeight="14.4" x14ac:dyDescent="0.3"/>
  <cols>
    <col min="1" max="1" width="8.77734375" customWidth="1"/>
    <col min="2" max="2" width="25.77734375" customWidth="1"/>
    <col min="3" max="9" width="15.77734375" customWidth="1"/>
    <col min="10" max="10" width="8.44140625" customWidth="1"/>
    <col min="11" max="11" width="10" bestFit="1" customWidth="1"/>
  </cols>
  <sheetData>
    <row r="1" spans="1:12" ht="18" x14ac:dyDescent="0.35">
      <c r="A1" s="35" t="s">
        <v>245</v>
      </c>
      <c r="B1" s="109"/>
      <c r="F1" s="1"/>
      <c r="J1" s="1"/>
      <c r="L1" s="14"/>
    </row>
    <row r="2" spans="1:12" ht="18" x14ac:dyDescent="0.35">
      <c r="A2" s="45"/>
      <c r="B2" s="22" t="s">
        <v>418</v>
      </c>
      <c r="F2" s="1"/>
      <c r="J2" s="1"/>
      <c r="L2" s="14"/>
    </row>
    <row r="3" spans="1:12" x14ac:dyDescent="0.3">
      <c r="A3" s="2" t="s">
        <v>251</v>
      </c>
      <c r="F3" s="1"/>
      <c r="J3" s="1"/>
      <c r="L3" s="14"/>
    </row>
    <row r="4" spans="1:12" x14ac:dyDescent="0.3">
      <c r="A4" s="2">
        <v>1</v>
      </c>
      <c r="B4" s="22" t="s">
        <v>246</v>
      </c>
      <c r="F4" s="1"/>
      <c r="I4" s="61" t="s">
        <v>405</v>
      </c>
      <c r="J4" s="82"/>
      <c r="K4" s="81" t="s">
        <v>407</v>
      </c>
    </row>
    <row r="5" spans="1:12" ht="15" thickBot="1" x14ac:dyDescent="0.35">
      <c r="A5" s="2"/>
      <c r="F5" s="1"/>
      <c r="I5" s="61" t="s">
        <v>356</v>
      </c>
      <c r="J5" s="82"/>
      <c r="K5" s="81" t="s">
        <v>406</v>
      </c>
    </row>
    <row r="6" spans="1:12" ht="15" thickBot="1" x14ac:dyDescent="0.35">
      <c r="A6" s="2"/>
      <c r="B6" s="6" t="s">
        <v>244</v>
      </c>
      <c r="F6" s="79"/>
      <c r="G6" s="22" t="str">
        <f>IF(SUM(J6:J8)&gt;1,"ERROR--choose only one","")</f>
        <v/>
      </c>
      <c r="I6" s="62" t="str">
        <f>IF(F6="x",I59,"")</f>
        <v/>
      </c>
      <c r="J6" s="82">
        <f>IF(F6="x",1,0)</f>
        <v>0</v>
      </c>
      <c r="K6" s="82" t="str">
        <f>IF(J6=1,I57,"")</f>
        <v/>
      </c>
    </row>
    <row r="7" spans="1:12" ht="15" thickBot="1" x14ac:dyDescent="0.35">
      <c r="A7" s="2"/>
      <c r="B7" s="6" t="s">
        <v>172</v>
      </c>
      <c r="F7" s="79"/>
      <c r="I7" s="62" t="str">
        <f>IF(F7="x",F59,"")</f>
        <v/>
      </c>
      <c r="J7" s="82">
        <f>IF(F7="x",1,0)</f>
        <v>0</v>
      </c>
      <c r="K7" s="82" t="str">
        <f>IF(J7=1,F57,"")</f>
        <v/>
      </c>
    </row>
    <row r="8" spans="1:12" ht="15" thickBot="1" x14ac:dyDescent="0.35">
      <c r="A8" s="2"/>
      <c r="B8" s="6" t="s">
        <v>173</v>
      </c>
      <c r="F8" s="79" t="s">
        <v>8</v>
      </c>
      <c r="G8" s="22"/>
      <c r="I8" s="62">
        <f>IF(F8="x",H59,0)</f>
        <v>23014.120000000003</v>
      </c>
      <c r="J8" s="82">
        <f>IF(F8="x",1,0)</f>
        <v>1</v>
      </c>
      <c r="K8" s="82">
        <f>IF(J8=1,H57,"")</f>
        <v>547.57999999999993</v>
      </c>
    </row>
    <row r="9" spans="1:12" x14ac:dyDescent="0.3">
      <c r="A9" s="2"/>
    </row>
    <row r="10" spans="1:12" x14ac:dyDescent="0.3">
      <c r="A10" s="2">
        <v>2</v>
      </c>
      <c r="B10" s="22" t="s">
        <v>425</v>
      </c>
    </row>
    <row r="11" spans="1:12" x14ac:dyDescent="0.3">
      <c r="B11" s="22" t="s">
        <v>426</v>
      </c>
    </row>
    <row r="13" spans="1:12" x14ac:dyDescent="0.3">
      <c r="B13" s="6" t="s">
        <v>247</v>
      </c>
    </row>
    <row r="16" spans="1:12" x14ac:dyDescent="0.3">
      <c r="B16" s="6"/>
      <c r="C16" s="6"/>
      <c r="D16" s="6"/>
      <c r="E16" s="6" t="s">
        <v>167</v>
      </c>
      <c r="F16" s="6"/>
      <c r="G16" s="6" t="s">
        <v>168</v>
      </c>
      <c r="H16" s="6"/>
      <c r="I16" s="6"/>
    </row>
    <row r="17" spans="2:9" x14ac:dyDescent="0.3">
      <c r="B17" s="6" t="s">
        <v>0</v>
      </c>
      <c r="C17" s="6" t="s">
        <v>38</v>
      </c>
      <c r="D17" s="6" t="s">
        <v>114</v>
      </c>
      <c r="E17" s="6" t="s">
        <v>44</v>
      </c>
      <c r="F17" s="6" t="s">
        <v>115</v>
      </c>
      <c r="G17" s="6" t="s">
        <v>44</v>
      </c>
      <c r="H17" s="6" t="s">
        <v>115</v>
      </c>
      <c r="I17" s="22" t="s">
        <v>116</v>
      </c>
    </row>
    <row r="19" spans="2:9" ht="15" thickBot="1" x14ac:dyDescent="0.35">
      <c r="B19" s="6" t="s">
        <v>106</v>
      </c>
    </row>
    <row r="20" spans="2:9" ht="15" thickBot="1" x14ac:dyDescent="0.35">
      <c r="B20" t="s">
        <v>32</v>
      </c>
      <c r="C20" t="s">
        <v>46</v>
      </c>
      <c r="D20" s="1">
        <v>10.25</v>
      </c>
      <c r="E20" s="97">
        <v>272</v>
      </c>
      <c r="F20" s="5">
        <f>D20*E20</f>
        <v>2788</v>
      </c>
      <c r="G20" s="97">
        <v>1210</v>
      </c>
      <c r="H20" s="5">
        <f>D20*G20</f>
        <v>12402.5</v>
      </c>
      <c r="I20" s="80">
        <v>0</v>
      </c>
    </row>
    <row r="21" spans="2:9" ht="15" thickBot="1" x14ac:dyDescent="0.35">
      <c r="B21" s="34" t="s">
        <v>143</v>
      </c>
      <c r="D21" s="1"/>
      <c r="E21" s="1"/>
      <c r="F21" s="5"/>
      <c r="G21" s="1"/>
      <c r="H21" s="5"/>
      <c r="I21" s="47"/>
    </row>
    <row r="22" spans="2:9" ht="15" thickBot="1" x14ac:dyDescent="0.35">
      <c r="B22" t="s">
        <v>30</v>
      </c>
      <c r="C22" t="s">
        <v>40</v>
      </c>
      <c r="D22" s="1">
        <v>0.71</v>
      </c>
      <c r="E22" s="1">
        <v>17</v>
      </c>
      <c r="F22" s="5">
        <v>12.07</v>
      </c>
      <c r="G22" s="1">
        <v>17</v>
      </c>
      <c r="H22" s="5">
        <v>12.07</v>
      </c>
      <c r="I22" s="80">
        <v>0</v>
      </c>
    </row>
    <row r="23" spans="2:9" ht="15" thickBot="1" x14ac:dyDescent="0.35">
      <c r="B23" s="34" t="s">
        <v>144</v>
      </c>
      <c r="D23" s="1"/>
      <c r="E23" s="1"/>
      <c r="F23" s="5"/>
      <c r="G23" s="1"/>
      <c r="H23" s="5"/>
      <c r="I23" s="47"/>
    </row>
    <row r="24" spans="2:9" ht="15" thickBot="1" x14ac:dyDescent="0.35">
      <c r="B24" t="s">
        <v>148</v>
      </c>
      <c r="C24" t="s">
        <v>39</v>
      </c>
      <c r="D24" s="1">
        <v>1</v>
      </c>
      <c r="E24" s="1">
        <v>124.07</v>
      </c>
      <c r="F24" s="5">
        <v>124.07</v>
      </c>
      <c r="G24" s="1">
        <v>1</v>
      </c>
      <c r="H24" s="5">
        <v>62.04</v>
      </c>
      <c r="I24" s="80">
        <v>0</v>
      </c>
    </row>
    <row r="25" spans="2:9" ht="15" thickBot="1" x14ac:dyDescent="0.35">
      <c r="B25" t="s">
        <v>149</v>
      </c>
      <c r="C25" t="s">
        <v>39</v>
      </c>
      <c r="D25" s="1">
        <v>1</v>
      </c>
      <c r="E25" s="1">
        <v>68.319999999999993</v>
      </c>
      <c r="F25" s="5">
        <v>68.319999999999993</v>
      </c>
      <c r="G25" s="1">
        <v>1</v>
      </c>
      <c r="H25" s="5">
        <v>68.319999999999993</v>
      </c>
      <c r="I25" s="80">
        <v>0</v>
      </c>
    </row>
    <row r="26" spans="2:9" ht="15" thickBot="1" x14ac:dyDescent="0.35">
      <c r="B26" t="s">
        <v>150</v>
      </c>
      <c r="C26" t="s">
        <v>39</v>
      </c>
      <c r="D26" s="1">
        <v>1</v>
      </c>
      <c r="E26" s="1">
        <v>39.76</v>
      </c>
      <c r="F26" s="5">
        <v>39.76</v>
      </c>
      <c r="G26" s="1">
        <v>1</v>
      </c>
      <c r="H26" s="5">
        <v>39.76</v>
      </c>
      <c r="I26" s="80">
        <v>0</v>
      </c>
    </row>
    <row r="27" spans="2:9" ht="15" thickBot="1" x14ac:dyDescent="0.35">
      <c r="B27" s="34" t="s">
        <v>33</v>
      </c>
      <c r="D27" s="1"/>
      <c r="E27" s="1"/>
      <c r="F27" s="5"/>
      <c r="G27" s="1"/>
      <c r="H27" s="5"/>
      <c r="I27" s="47"/>
    </row>
    <row r="28" spans="2:9" ht="15" thickBot="1" x14ac:dyDescent="0.35">
      <c r="B28" t="s">
        <v>151</v>
      </c>
      <c r="C28" t="s">
        <v>41</v>
      </c>
      <c r="D28" s="1">
        <v>18</v>
      </c>
      <c r="E28" s="1">
        <v>28</v>
      </c>
      <c r="F28" s="5">
        <v>504</v>
      </c>
      <c r="G28" s="1">
        <v>69.5</v>
      </c>
      <c r="H28" s="5">
        <v>1251</v>
      </c>
      <c r="I28" s="80">
        <v>0</v>
      </c>
    </row>
    <row r="29" spans="2:9" ht="15" thickBot="1" x14ac:dyDescent="0.35">
      <c r="B29" t="s">
        <v>152</v>
      </c>
      <c r="C29" t="s">
        <v>41</v>
      </c>
      <c r="D29" s="1">
        <v>20</v>
      </c>
      <c r="E29" s="1">
        <v>4.5999999999999996</v>
      </c>
      <c r="F29" s="5">
        <v>92</v>
      </c>
      <c r="G29" s="1">
        <v>12.6</v>
      </c>
      <c r="H29" s="5">
        <v>252</v>
      </c>
      <c r="I29" s="80">
        <v>0</v>
      </c>
    </row>
    <row r="30" spans="2:9" ht="15" thickBot="1" x14ac:dyDescent="0.35">
      <c r="B30" s="34" t="s">
        <v>35</v>
      </c>
      <c r="D30" s="1"/>
      <c r="E30" s="1"/>
      <c r="F30" s="5"/>
      <c r="G30" s="1"/>
      <c r="H30" s="5"/>
      <c r="I30" s="47"/>
    </row>
    <row r="31" spans="2:9" ht="15" thickBot="1" x14ac:dyDescent="0.35">
      <c r="B31" t="s">
        <v>153</v>
      </c>
      <c r="C31" t="s">
        <v>46</v>
      </c>
      <c r="D31" s="1">
        <v>0.8</v>
      </c>
      <c r="E31" s="1">
        <v>136</v>
      </c>
      <c r="F31" s="5">
        <v>108.8</v>
      </c>
      <c r="G31" s="1">
        <v>400</v>
      </c>
      <c r="H31" s="5">
        <v>320</v>
      </c>
      <c r="I31" s="80">
        <v>0</v>
      </c>
    </row>
    <row r="32" spans="2:9" ht="15" thickBot="1" x14ac:dyDescent="0.35">
      <c r="B32" t="s">
        <v>154</v>
      </c>
      <c r="C32" t="s">
        <v>46</v>
      </c>
      <c r="D32" s="1">
        <v>0.75</v>
      </c>
      <c r="E32" s="1">
        <v>272</v>
      </c>
      <c r="F32" s="5">
        <v>204</v>
      </c>
      <c r="G32" s="19">
        <v>1210</v>
      </c>
      <c r="H32" s="5">
        <v>907.5</v>
      </c>
      <c r="I32" s="80">
        <v>0</v>
      </c>
    </row>
    <row r="33" spans="2:12" ht="15" thickBot="1" x14ac:dyDescent="0.35">
      <c r="B33" t="s">
        <v>155</v>
      </c>
      <c r="C33" t="s">
        <v>40</v>
      </c>
      <c r="D33" s="1">
        <v>2.1800000000000002</v>
      </c>
      <c r="E33" s="1">
        <v>10</v>
      </c>
      <c r="F33" s="5">
        <v>21.8</v>
      </c>
      <c r="G33" s="1">
        <v>10</v>
      </c>
      <c r="H33" s="5">
        <v>21.8</v>
      </c>
      <c r="I33" s="80">
        <v>0</v>
      </c>
    </row>
    <row r="34" spans="2:12" ht="15" thickBot="1" x14ac:dyDescent="0.35">
      <c r="B34" t="s">
        <v>156</v>
      </c>
      <c r="C34" t="s">
        <v>165</v>
      </c>
      <c r="D34" s="1">
        <v>0.03</v>
      </c>
      <c r="E34" s="1" t="s">
        <v>169</v>
      </c>
      <c r="F34" s="5" t="s">
        <v>170</v>
      </c>
      <c r="G34" s="19">
        <v>10890</v>
      </c>
      <c r="H34" s="5">
        <v>326.7</v>
      </c>
      <c r="I34" s="80">
        <v>0</v>
      </c>
    </row>
    <row r="35" spans="2:12" ht="15" thickBot="1" x14ac:dyDescent="0.35">
      <c r="B35" t="s">
        <v>122</v>
      </c>
      <c r="C35" t="s">
        <v>43</v>
      </c>
      <c r="D35" s="1">
        <v>4.25</v>
      </c>
      <c r="E35" s="1">
        <v>27</v>
      </c>
      <c r="F35" s="5">
        <v>114.75</v>
      </c>
      <c r="G35" s="1">
        <v>65.599999999999994</v>
      </c>
      <c r="H35" s="5">
        <v>278.8</v>
      </c>
      <c r="I35" s="80">
        <v>0</v>
      </c>
    </row>
    <row r="36" spans="2:12" ht="15" thickBot="1" x14ac:dyDescent="0.35">
      <c r="B36" s="34" t="s">
        <v>145</v>
      </c>
      <c r="D36" s="1"/>
      <c r="E36" s="1"/>
      <c r="F36" s="5"/>
      <c r="G36" s="1"/>
      <c r="H36" s="5"/>
      <c r="I36" s="47"/>
    </row>
    <row r="37" spans="2:12" ht="15" thickBot="1" x14ac:dyDescent="0.35">
      <c r="B37" t="s">
        <v>157</v>
      </c>
      <c r="C37" t="s">
        <v>46</v>
      </c>
      <c r="D37" s="1">
        <v>33.950000000000003</v>
      </c>
      <c r="E37" s="1" t="s">
        <v>169</v>
      </c>
      <c r="F37" s="5" t="s">
        <v>170</v>
      </c>
      <c r="G37" s="1">
        <v>1</v>
      </c>
      <c r="H37" s="5">
        <v>33.950000000000003</v>
      </c>
      <c r="I37" s="80">
        <v>0</v>
      </c>
    </row>
    <row r="38" spans="2:12" ht="15" thickBot="1" x14ac:dyDescent="0.35">
      <c r="B38" t="s">
        <v>158</v>
      </c>
      <c r="C38" t="s">
        <v>46</v>
      </c>
      <c r="D38" s="1">
        <v>31.61</v>
      </c>
      <c r="E38" s="1" t="s">
        <v>169</v>
      </c>
      <c r="F38" s="5" t="s">
        <v>170</v>
      </c>
      <c r="G38" s="1">
        <v>160</v>
      </c>
      <c r="H38" s="5">
        <v>5057.6000000000004</v>
      </c>
      <c r="I38" s="80">
        <v>0</v>
      </c>
    </row>
    <row r="39" spans="2:12" ht="15" thickBot="1" x14ac:dyDescent="0.35">
      <c r="B39" t="s">
        <v>159</v>
      </c>
      <c r="C39" t="s">
        <v>166</v>
      </c>
      <c r="D39" s="1">
        <v>30</v>
      </c>
      <c r="E39" s="1" t="s">
        <v>170</v>
      </c>
      <c r="F39" s="5" t="s">
        <v>170</v>
      </c>
      <c r="G39" s="1">
        <v>15.6</v>
      </c>
      <c r="H39" s="5">
        <v>468</v>
      </c>
      <c r="I39" s="80">
        <v>0</v>
      </c>
    </row>
    <row r="40" spans="2:12" ht="15" thickBot="1" x14ac:dyDescent="0.35">
      <c r="B40" t="s">
        <v>160</v>
      </c>
      <c r="C40" t="s">
        <v>46</v>
      </c>
      <c r="D40" s="1">
        <v>0.17</v>
      </c>
      <c r="E40" s="1" t="s">
        <v>170</v>
      </c>
      <c r="F40" s="5" t="s">
        <v>170</v>
      </c>
      <c r="G40" s="1">
        <v>96</v>
      </c>
      <c r="H40" s="5">
        <v>16.32</v>
      </c>
      <c r="I40" s="80">
        <v>0</v>
      </c>
    </row>
    <row r="41" spans="2:12" ht="15" thickBot="1" x14ac:dyDescent="0.35">
      <c r="B41" t="s">
        <v>161</v>
      </c>
      <c r="C41" t="s">
        <v>46</v>
      </c>
      <c r="D41" s="1">
        <v>0.04</v>
      </c>
      <c r="E41" s="1" t="s">
        <v>170</v>
      </c>
      <c r="F41" s="5" t="s">
        <v>170</v>
      </c>
      <c r="G41" s="1">
        <v>640</v>
      </c>
      <c r="H41" s="5">
        <v>25.6</v>
      </c>
      <c r="I41" s="80">
        <v>0</v>
      </c>
    </row>
    <row r="42" spans="2:12" ht="15" thickBot="1" x14ac:dyDescent="0.35">
      <c r="B42" t="s">
        <v>162</v>
      </c>
      <c r="C42" t="s">
        <v>46</v>
      </c>
      <c r="D42" s="1">
        <v>2.8</v>
      </c>
      <c r="E42" s="1">
        <v>272</v>
      </c>
      <c r="F42" s="5">
        <v>761.6</v>
      </c>
      <c r="G42" s="1" t="s">
        <v>169</v>
      </c>
      <c r="H42" s="5" t="s">
        <v>169</v>
      </c>
      <c r="I42" s="80">
        <v>0</v>
      </c>
    </row>
    <row r="43" spans="2:12" ht="15" thickBot="1" x14ac:dyDescent="0.35">
      <c r="B43" t="s">
        <v>22</v>
      </c>
      <c r="C43" t="s">
        <v>46</v>
      </c>
      <c r="D43" s="1">
        <v>0.08</v>
      </c>
      <c r="E43" s="1">
        <v>544</v>
      </c>
      <c r="F43" s="5">
        <v>43.52</v>
      </c>
      <c r="G43" s="1" t="s">
        <v>169</v>
      </c>
      <c r="H43" s="5" t="s">
        <v>169</v>
      </c>
      <c r="I43" s="80">
        <v>0</v>
      </c>
    </row>
    <row r="44" spans="2:12" ht="15" thickBot="1" x14ac:dyDescent="0.35">
      <c r="B44" t="s">
        <v>17</v>
      </c>
      <c r="C44" t="s">
        <v>46</v>
      </c>
      <c r="D44" s="1">
        <v>0.16</v>
      </c>
      <c r="E44" s="1" t="s">
        <v>170</v>
      </c>
      <c r="F44" s="5" t="s">
        <v>170</v>
      </c>
      <c r="G44" s="19">
        <v>4840</v>
      </c>
      <c r="H44" s="5">
        <v>774.4</v>
      </c>
      <c r="I44" s="80">
        <v>0</v>
      </c>
    </row>
    <row r="45" spans="2:12" ht="15" thickBot="1" x14ac:dyDescent="0.35">
      <c r="B45" s="34" t="s">
        <v>37</v>
      </c>
      <c r="D45" s="1"/>
      <c r="E45" s="1"/>
      <c r="F45" s="5"/>
      <c r="G45" s="1"/>
      <c r="H45" s="5"/>
      <c r="I45" s="47"/>
    </row>
    <row r="46" spans="2:12" ht="15" thickBot="1" x14ac:dyDescent="0.35">
      <c r="B46" t="s">
        <v>124</v>
      </c>
      <c r="C46" t="s">
        <v>39</v>
      </c>
      <c r="D46" s="1"/>
      <c r="E46" s="1">
        <v>1</v>
      </c>
      <c r="F46" s="5">
        <v>13.79</v>
      </c>
      <c r="G46" s="1">
        <v>1</v>
      </c>
      <c r="H46" s="5">
        <v>47.71</v>
      </c>
      <c r="I46" s="80">
        <v>0</v>
      </c>
    </row>
    <row r="47" spans="2:12" ht="15" thickBot="1" x14ac:dyDescent="0.35">
      <c r="B47" t="s">
        <v>128</v>
      </c>
      <c r="C47" t="s">
        <v>39</v>
      </c>
      <c r="D47" s="1"/>
      <c r="E47" s="1">
        <v>1</v>
      </c>
      <c r="F47" s="5">
        <v>37.630000000000003</v>
      </c>
      <c r="G47" s="1">
        <v>1</v>
      </c>
      <c r="H47" s="77">
        <v>100.47</v>
      </c>
      <c r="I47" s="80">
        <v>0</v>
      </c>
    </row>
    <row r="48" spans="2:12" x14ac:dyDescent="0.3">
      <c r="B48" t="s">
        <v>163</v>
      </c>
      <c r="C48" t="s">
        <v>39</v>
      </c>
      <c r="D48" s="65">
        <f>Parameters!$D$6</f>
        <v>5.5E-2</v>
      </c>
      <c r="E48" s="1"/>
      <c r="F48" s="71" t="s">
        <v>79</v>
      </c>
      <c r="G48" s="1"/>
      <c r="H48" s="71" t="s">
        <v>79</v>
      </c>
      <c r="I48" s="69" t="s">
        <v>79</v>
      </c>
      <c r="J48" s="47" t="s">
        <v>380</v>
      </c>
      <c r="K48" s="46" t="s">
        <v>398</v>
      </c>
      <c r="L48" s="4"/>
    </row>
    <row r="49" spans="2:11" x14ac:dyDescent="0.3">
      <c r="D49" s="1"/>
      <c r="E49" s="1"/>
      <c r="F49" s="5"/>
      <c r="G49" s="1"/>
      <c r="H49" s="5"/>
      <c r="I49" s="46"/>
      <c r="K49" s="22" t="s">
        <v>399</v>
      </c>
    </row>
    <row r="50" spans="2:11" x14ac:dyDescent="0.3">
      <c r="B50" s="6" t="s">
        <v>127</v>
      </c>
      <c r="D50" s="1"/>
      <c r="E50" s="1"/>
      <c r="F50" s="5">
        <f>SUM(F20:F48)</f>
        <v>4934.1100000000015</v>
      </c>
      <c r="G50" s="1"/>
      <c r="H50" s="5">
        <f>SUM(H20:H48)</f>
        <v>22466.54</v>
      </c>
      <c r="I50" s="67">
        <f>SUM(I20:I48)</f>
        <v>0</v>
      </c>
    </row>
    <row r="51" spans="2:11" x14ac:dyDescent="0.3">
      <c r="D51" s="1"/>
      <c r="E51" s="19"/>
      <c r="F51" s="5"/>
      <c r="G51" s="1"/>
      <c r="H51" s="5"/>
      <c r="I51" s="47"/>
    </row>
    <row r="52" spans="2:11" ht="15" thickBot="1" x14ac:dyDescent="0.35">
      <c r="B52" s="6" t="s">
        <v>108</v>
      </c>
      <c r="D52" s="1"/>
      <c r="E52" s="1"/>
      <c r="F52" s="5"/>
      <c r="G52" s="1"/>
      <c r="H52" s="5"/>
      <c r="I52" s="47"/>
    </row>
    <row r="53" spans="2:11" ht="15" thickBot="1" x14ac:dyDescent="0.35">
      <c r="B53" t="s">
        <v>124</v>
      </c>
      <c r="C53" t="s">
        <v>39</v>
      </c>
      <c r="D53" s="1"/>
      <c r="E53" s="1">
        <v>1</v>
      </c>
      <c r="F53" s="5">
        <v>44.12</v>
      </c>
      <c r="G53" s="1">
        <v>1</v>
      </c>
      <c r="H53" s="5">
        <v>130.19999999999999</v>
      </c>
      <c r="I53" s="80">
        <v>0</v>
      </c>
    </row>
    <row r="54" spans="2:11" ht="15" thickBot="1" x14ac:dyDescent="0.35">
      <c r="B54" t="s">
        <v>164</v>
      </c>
      <c r="C54" t="s">
        <v>39</v>
      </c>
      <c r="D54" s="1"/>
      <c r="E54" s="1">
        <v>1</v>
      </c>
      <c r="F54" s="5">
        <v>65.099999999999994</v>
      </c>
      <c r="G54" s="1">
        <v>1</v>
      </c>
      <c r="H54" s="5">
        <v>217.38</v>
      </c>
      <c r="I54" s="80">
        <v>0</v>
      </c>
    </row>
    <row r="55" spans="2:11" ht="15" thickBot="1" x14ac:dyDescent="0.35">
      <c r="B55" t="s">
        <v>129</v>
      </c>
      <c r="C55" t="s">
        <v>39</v>
      </c>
      <c r="D55" s="1"/>
      <c r="E55" s="1">
        <v>1</v>
      </c>
      <c r="F55" s="5">
        <v>200</v>
      </c>
      <c r="G55" s="1">
        <v>1</v>
      </c>
      <c r="H55" s="5">
        <v>200</v>
      </c>
      <c r="I55" s="80">
        <v>0</v>
      </c>
    </row>
    <row r="56" spans="2:11" x14ac:dyDescent="0.3">
      <c r="D56" s="1"/>
      <c r="E56" s="1"/>
      <c r="F56" s="5"/>
      <c r="G56" s="1"/>
      <c r="H56" s="5"/>
      <c r="I56" s="48"/>
    </row>
    <row r="57" spans="2:11" x14ac:dyDescent="0.3">
      <c r="B57" s="6" t="s">
        <v>130</v>
      </c>
      <c r="D57" s="1"/>
      <c r="E57" s="1"/>
      <c r="F57" s="5">
        <f>SUM(F53:F55)</f>
        <v>309.22000000000003</v>
      </c>
      <c r="G57" s="1"/>
      <c r="H57" s="5">
        <f>SUM(H53:H55)</f>
        <v>547.57999999999993</v>
      </c>
      <c r="I57" s="67">
        <f>SUM(I53:I55)</f>
        <v>0</v>
      </c>
    </row>
    <row r="58" spans="2:11" x14ac:dyDescent="0.3">
      <c r="D58" s="1"/>
      <c r="E58" s="1"/>
      <c r="F58" s="5"/>
      <c r="G58" s="1"/>
      <c r="H58" s="5"/>
      <c r="I58" s="67"/>
    </row>
    <row r="59" spans="2:11" x14ac:dyDescent="0.3">
      <c r="B59" s="6" t="s">
        <v>131</v>
      </c>
      <c r="D59" s="1"/>
      <c r="E59" s="1"/>
      <c r="F59" s="5">
        <f>F50+F57</f>
        <v>5243.3300000000017</v>
      </c>
      <c r="G59" s="1"/>
      <c r="H59" s="5">
        <f>H50+H57</f>
        <v>23014.120000000003</v>
      </c>
      <c r="I59" s="67">
        <f>I50+I57</f>
        <v>0</v>
      </c>
    </row>
    <row r="61" spans="2:11" x14ac:dyDescent="0.3">
      <c r="B61" t="s">
        <v>109</v>
      </c>
    </row>
    <row r="62" spans="2:11" x14ac:dyDescent="0.3">
      <c r="B62" t="s">
        <v>146</v>
      </c>
    </row>
    <row r="63" spans="2:11" ht="15" thickBot="1" x14ac:dyDescent="0.35">
      <c r="B63" t="s">
        <v>147</v>
      </c>
    </row>
    <row r="64" spans="2:11" ht="15.6" thickTop="1" thickBot="1" x14ac:dyDescent="0.35">
      <c r="H64" s="158" t="s">
        <v>374</v>
      </c>
      <c r="I64" s="162"/>
    </row>
    <row r="65" ht="15" thickTop="1" x14ac:dyDescent="0.3"/>
  </sheetData>
  <sheetProtection sheet="1" objects="1" scenarios="1" selectLockedCells="1"/>
  <mergeCells count="1">
    <mergeCell ref="H64:I64"/>
  </mergeCell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4F2A-18E7-4E49-A6D6-DD95682564D6}">
  <dimension ref="A1:K55"/>
  <sheetViews>
    <sheetView workbookViewId="0">
      <selection activeCell="B1" sqref="B1"/>
    </sheetView>
  </sheetViews>
  <sheetFormatPr defaultRowHeight="14.4" x14ac:dyDescent="0.3"/>
  <cols>
    <col min="1" max="1" width="8.77734375" customWidth="1"/>
    <col min="2" max="2" width="22.77734375" customWidth="1"/>
    <col min="3" max="7" width="15.77734375" customWidth="1"/>
    <col min="9" max="9" width="15.77734375" customWidth="1"/>
  </cols>
  <sheetData>
    <row r="1" spans="1:11" ht="18" x14ac:dyDescent="0.35">
      <c r="A1" s="35" t="s">
        <v>421</v>
      </c>
      <c r="B1" s="109"/>
      <c r="F1" s="1"/>
    </row>
    <row r="2" spans="1:11" ht="18" x14ac:dyDescent="0.35">
      <c r="A2" s="45"/>
      <c r="B2" s="22" t="s">
        <v>418</v>
      </c>
      <c r="F2" s="1"/>
    </row>
    <row r="3" spans="1:11" x14ac:dyDescent="0.3">
      <c r="A3" s="2" t="s">
        <v>251</v>
      </c>
      <c r="F3" s="1"/>
    </row>
    <row r="4" spans="1:11" x14ac:dyDescent="0.3">
      <c r="A4" s="2">
        <v>1</v>
      </c>
      <c r="B4" s="22" t="s">
        <v>246</v>
      </c>
      <c r="F4" s="1"/>
      <c r="I4" s="61" t="s">
        <v>355</v>
      </c>
      <c r="K4" s="81" t="s">
        <v>407</v>
      </c>
    </row>
    <row r="5" spans="1:11" ht="15" thickBot="1" x14ac:dyDescent="0.35">
      <c r="A5" s="2"/>
      <c r="F5" s="1"/>
      <c r="I5" s="61" t="s">
        <v>356</v>
      </c>
      <c r="K5" s="81" t="s">
        <v>406</v>
      </c>
    </row>
    <row r="6" spans="1:11" ht="15" thickBot="1" x14ac:dyDescent="0.35">
      <c r="A6" s="2"/>
      <c r="B6" s="6" t="s">
        <v>244</v>
      </c>
      <c r="F6" s="79"/>
      <c r="I6" s="5" t="str">
        <f>IF(F6="x",G52,"")</f>
        <v/>
      </c>
      <c r="J6" t="str">
        <f>IF(E6="x",I6-F40,"")</f>
        <v/>
      </c>
      <c r="K6" s="82" t="str">
        <f>IF(F6="x",G50,"")</f>
        <v/>
      </c>
    </row>
    <row r="7" spans="1:11" ht="15" thickBot="1" x14ac:dyDescent="0.35">
      <c r="A7" s="2"/>
      <c r="B7" s="6" t="s">
        <v>304</v>
      </c>
      <c r="F7" s="79" t="s">
        <v>8</v>
      </c>
      <c r="G7" s="22" t="str">
        <f>IF(F6=F7,"ERROR--choose only one","")</f>
        <v/>
      </c>
      <c r="I7" s="62">
        <f>IF(F7="x",F52,"")</f>
        <v>2437.04</v>
      </c>
      <c r="J7" t="str">
        <f>IF(E7="x",I7-E40,"")</f>
        <v/>
      </c>
      <c r="K7" s="82">
        <f>IF(F7="x",F50,"")</f>
        <v>394.88</v>
      </c>
    </row>
    <row r="8" spans="1:11" x14ac:dyDescent="0.3">
      <c r="A8" s="2"/>
    </row>
    <row r="9" spans="1:11" x14ac:dyDescent="0.3">
      <c r="A9" s="2">
        <v>2</v>
      </c>
      <c r="B9" s="22" t="s">
        <v>424</v>
      </c>
    </row>
    <row r="11" spans="1:11" x14ac:dyDescent="0.3">
      <c r="B11" s="6" t="s">
        <v>303</v>
      </c>
    </row>
    <row r="13" spans="1:11" x14ac:dyDescent="0.3">
      <c r="B13" s="6" t="s">
        <v>28</v>
      </c>
      <c r="C13" s="2" t="s">
        <v>38</v>
      </c>
      <c r="D13" s="2" t="s">
        <v>114</v>
      </c>
      <c r="E13" s="2" t="s">
        <v>44</v>
      </c>
      <c r="F13" s="2" t="s">
        <v>115</v>
      </c>
      <c r="G13" s="24" t="s">
        <v>116</v>
      </c>
    </row>
    <row r="14" spans="1:11" x14ac:dyDescent="0.3">
      <c r="B14" s="6"/>
      <c r="C14" s="6"/>
      <c r="D14" s="6"/>
      <c r="E14" s="6"/>
      <c r="F14" s="6"/>
    </row>
    <row r="15" spans="1:11" ht="15" thickBot="1" x14ac:dyDescent="0.35">
      <c r="B15" s="6" t="s">
        <v>106</v>
      </c>
    </row>
    <row r="16" spans="1:11" ht="15" thickBot="1" x14ac:dyDescent="0.35">
      <c r="B16" t="s">
        <v>174</v>
      </c>
      <c r="C16" s="1" t="s">
        <v>175</v>
      </c>
      <c r="D16" s="5">
        <v>38</v>
      </c>
      <c r="E16" s="1">
        <v>0.5</v>
      </c>
      <c r="F16" s="5">
        <f>D16*E16</f>
        <v>19</v>
      </c>
      <c r="G16" s="80">
        <v>0</v>
      </c>
    </row>
    <row r="17" spans="2:7" ht="15" thickBot="1" x14ac:dyDescent="0.35">
      <c r="B17" s="34" t="s">
        <v>143</v>
      </c>
      <c r="C17" s="1"/>
      <c r="E17" s="1"/>
      <c r="F17" s="5"/>
    </row>
    <row r="18" spans="2:7" ht="15" thickBot="1" x14ac:dyDescent="0.35">
      <c r="B18" t="s">
        <v>176</v>
      </c>
      <c r="C18" s="1" t="s">
        <v>40</v>
      </c>
      <c r="D18" s="5">
        <v>0.71</v>
      </c>
      <c r="E18" s="1">
        <v>20</v>
      </c>
      <c r="F18" s="5">
        <f t="shared" ref="F18:F24" si="0">D18*E18</f>
        <v>14.2</v>
      </c>
      <c r="G18" s="80">
        <v>0</v>
      </c>
    </row>
    <row r="19" spans="2:7" ht="15" thickBot="1" x14ac:dyDescent="0.35">
      <c r="B19" t="s">
        <v>177</v>
      </c>
      <c r="C19" s="1" t="s">
        <v>40</v>
      </c>
      <c r="D19" s="5">
        <v>0.55000000000000004</v>
      </c>
      <c r="E19" s="1">
        <v>50</v>
      </c>
      <c r="F19" s="5">
        <f t="shared" si="0"/>
        <v>27.500000000000004</v>
      </c>
      <c r="G19" s="80">
        <v>0</v>
      </c>
    </row>
    <row r="20" spans="2:7" ht="15" thickBot="1" x14ac:dyDescent="0.35">
      <c r="B20" t="s">
        <v>178</v>
      </c>
      <c r="C20" s="1" t="s">
        <v>40</v>
      </c>
      <c r="D20" s="5">
        <v>0.32</v>
      </c>
      <c r="E20" s="1">
        <v>21</v>
      </c>
      <c r="F20" s="5">
        <f t="shared" si="0"/>
        <v>6.72</v>
      </c>
      <c r="G20" s="80">
        <v>0</v>
      </c>
    </row>
    <row r="21" spans="2:7" ht="15" thickBot="1" x14ac:dyDescent="0.35">
      <c r="B21" t="s">
        <v>179</v>
      </c>
      <c r="C21" s="1" t="s">
        <v>40</v>
      </c>
      <c r="D21" s="5">
        <v>0.52</v>
      </c>
      <c r="E21" s="1">
        <v>28.5</v>
      </c>
      <c r="F21" s="5">
        <f t="shared" si="0"/>
        <v>14.82</v>
      </c>
      <c r="G21" s="80">
        <v>0</v>
      </c>
    </row>
    <row r="22" spans="2:7" ht="15" thickBot="1" x14ac:dyDescent="0.35">
      <c r="B22" t="s">
        <v>180</v>
      </c>
      <c r="C22" s="1" t="s">
        <v>40</v>
      </c>
      <c r="D22" s="5">
        <v>1.9</v>
      </c>
      <c r="E22" s="1">
        <v>3.6</v>
      </c>
      <c r="F22" s="5">
        <f t="shared" si="0"/>
        <v>6.84</v>
      </c>
      <c r="G22" s="80">
        <v>0</v>
      </c>
    </row>
    <row r="23" spans="2:7" ht="15" thickBot="1" x14ac:dyDescent="0.35">
      <c r="B23" t="s">
        <v>181</v>
      </c>
      <c r="C23" s="1" t="s">
        <v>39</v>
      </c>
      <c r="D23" s="5">
        <v>2</v>
      </c>
      <c r="E23" s="1">
        <v>1</v>
      </c>
      <c r="F23" s="5">
        <f t="shared" si="0"/>
        <v>2</v>
      </c>
      <c r="G23" s="80">
        <v>0</v>
      </c>
    </row>
    <row r="24" spans="2:7" ht="15" thickBot="1" x14ac:dyDescent="0.35">
      <c r="B24" t="s">
        <v>182</v>
      </c>
      <c r="C24" s="1" t="s">
        <v>39</v>
      </c>
      <c r="D24" s="5">
        <v>25</v>
      </c>
      <c r="E24" s="1">
        <v>0.25</v>
      </c>
      <c r="F24" s="5">
        <f t="shared" si="0"/>
        <v>6.25</v>
      </c>
      <c r="G24" s="80">
        <v>0</v>
      </c>
    </row>
    <row r="25" spans="2:7" ht="15" thickBot="1" x14ac:dyDescent="0.35">
      <c r="B25" s="34" t="s">
        <v>144</v>
      </c>
      <c r="C25" s="1"/>
    </row>
    <row r="26" spans="2:7" ht="15" thickBot="1" x14ac:dyDescent="0.35">
      <c r="B26" t="s">
        <v>148</v>
      </c>
      <c r="C26" s="1" t="s">
        <v>39</v>
      </c>
      <c r="D26" s="1">
        <v>1</v>
      </c>
      <c r="E26" s="1">
        <v>58.52</v>
      </c>
      <c r="F26" s="5">
        <f t="shared" ref="F26:F28" si="1">D26*E26</f>
        <v>58.52</v>
      </c>
      <c r="G26" s="80">
        <v>0</v>
      </c>
    </row>
    <row r="27" spans="2:7" ht="15" thickBot="1" x14ac:dyDescent="0.35">
      <c r="B27" t="s">
        <v>149</v>
      </c>
      <c r="C27" s="1" t="s">
        <v>39</v>
      </c>
      <c r="D27" s="1">
        <v>1</v>
      </c>
      <c r="E27" s="1">
        <v>204.86</v>
      </c>
      <c r="F27" s="5">
        <f t="shared" si="1"/>
        <v>204.86</v>
      </c>
      <c r="G27" s="80">
        <v>0</v>
      </c>
    </row>
    <row r="28" spans="2:7" ht="15" thickBot="1" x14ac:dyDescent="0.35">
      <c r="B28" t="s">
        <v>150</v>
      </c>
      <c r="C28" s="1" t="s">
        <v>39</v>
      </c>
      <c r="D28" s="1">
        <v>1</v>
      </c>
      <c r="E28" s="1">
        <v>230.82</v>
      </c>
      <c r="F28" s="5">
        <f t="shared" si="1"/>
        <v>230.82</v>
      </c>
      <c r="G28" s="80">
        <v>0</v>
      </c>
    </row>
    <row r="29" spans="2:7" ht="15" thickBot="1" x14ac:dyDescent="0.35">
      <c r="B29" s="34" t="s">
        <v>33</v>
      </c>
      <c r="C29" s="1"/>
      <c r="D29" s="5"/>
      <c r="E29" s="1"/>
      <c r="F29" s="5"/>
    </row>
    <row r="30" spans="2:7" ht="15" thickBot="1" x14ac:dyDescent="0.35">
      <c r="B30" t="s">
        <v>184</v>
      </c>
      <c r="C30" s="1" t="s">
        <v>39</v>
      </c>
      <c r="D30" s="5">
        <v>100</v>
      </c>
      <c r="E30" s="1">
        <v>1</v>
      </c>
      <c r="F30" s="5">
        <f t="shared" ref="F30:F32" si="2">D30*E30</f>
        <v>100</v>
      </c>
      <c r="G30" s="80">
        <v>0</v>
      </c>
    </row>
    <row r="31" spans="2:7" ht="15" thickBot="1" x14ac:dyDescent="0.35">
      <c r="B31" t="s">
        <v>185</v>
      </c>
      <c r="C31" s="1" t="s">
        <v>41</v>
      </c>
      <c r="D31" s="5">
        <v>18</v>
      </c>
      <c r="E31" s="1">
        <v>27</v>
      </c>
      <c r="F31" s="5">
        <f t="shared" si="2"/>
        <v>486</v>
      </c>
      <c r="G31" s="80">
        <v>0</v>
      </c>
    </row>
    <row r="32" spans="2:7" ht="15" thickBot="1" x14ac:dyDescent="0.35">
      <c r="B32" t="s">
        <v>34</v>
      </c>
      <c r="C32" s="1" t="s">
        <v>41</v>
      </c>
      <c r="D32" s="5">
        <v>20</v>
      </c>
      <c r="E32" s="1">
        <v>8.4</v>
      </c>
      <c r="F32" s="5">
        <f t="shared" si="2"/>
        <v>168</v>
      </c>
      <c r="G32" s="80">
        <v>0</v>
      </c>
    </row>
    <row r="33" spans="2:9" x14ac:dyDescent="0.3">
      <c r="B33" t="s">
        <v>186</v>
      </c>
      <c r="C33" s="1" t="s">
        <v>42</v>
      </c>
      <c r="D33" s="9" t="str">
        <f>CONCATENATE("$",Parameters!D$24," or $",Parameters!D$23)</f>
        <v>$1.95 or $2.4</v>
      </c>
      <c r="E33" s="3"/>
      <c r="F33" s="71" t="s">
        <v>79</v>
      </c>
      <c r="G33" s="71" t="s">
        <v>79</v>
      </c>
      <c r="H33" s="47" t="s">
        <v>380</v>
      </c>
      <c r="I33" s="22" t="s">
        <v>400</v>
      </c>
    </row>
    <row r="34" spans="2:9" ht="15" thickBot="1" x14ac:dyDescent="0.35">
      <c r="B34" s="34" t="s">
        <v>35</v>
      </c>
      <c r="C34" s="1"/>
      <c r="D34" s="9"/>
      <c r="E34" s="3"/>
      <c r="F34" s="71"/>
      <c r="G34" s="71"/>
      <c r="H34" s="47"/>
      <c r="I34" s="22" t="s">
        <v>401</v>
      </c>
    </row>
    <row r="35" spans="2:9" ht="15" thickBot="1" x14ac:dyDescent="0.35">
      <c r="B35" t="s">
        <v>36</v>
      </c>
      <c r="C35" s="1" t="s">
        <v>42</v>
      </c>
      <c r="D35" s="5">
        <v>0.8</v>
      </c>
      <c r="E35" s="1">
        <v>400</v>
      </c>
      <c r="F35" s="5">
        <f>D35*E35</f>
        <v>320</v>
      </c>
      <c r="G35" s="80">
        <v>0</v>
      </c>
    </row>
    <row r="36" spans="2:9" ht="15" thickBot="1" x14ac:dyDescent="0.35">
      <c r="B36" t="s">
        <v>183</v>
      </c>
      <c r="C36" s="1" t="s">
        <v>40</v>
      </c>
      <c r="D36" s="5">
        <v>2.1800000000000002</v>
      </c>
      <c r="E36" s="1">
        <v>10</v>
      </c>
      <c r="F36" s="5">
        <f>D36*E36</f>
        <v>21.8</v>
      </c>
      <c r="G36" s="80">
        <v>0</v>
      </c>
    </row>
    <row r="37" spans="2:9" ht="15" thickBot="1" x14ac:dyDescent="0.35">
      <c r="B37" t="s">
        <v>190</v>
      </c>
      <c r="C37" s="1" t="s">
        <v>43</v>
      </c>
      <c r="D37" s="5">
        <v>4.25</v>
      </c>
      <c r="E37" s="1">
        <v>60</v>
      </c>
      <c r="F37" s="5">
        <f>D37*E37</f>
        <v>255</v>
      </c>
      <c r="G37" s="80">
        <v>0</v>
      </c>
    </row>
    <row r="38" spans="2:9" ht="15" thickBot="1" x14ac:dyDescent="0.35">
      <c r="B38" s="34" t="s">
        <v>37</v>
      </c>
      <c r="C38" s="1"/>
      <c r="D38" s="5"/>
      <c r="E38" s="1"/>
      <c r="F38" s="5"/>
    </row>
    <row r="39" spans="2:9" ht="15" thickBot="1" x14ac:dyDescent="0.35">
      <c r="B39" t="s">
        <v>191</v>
      </c>
      <c r="C39" s="1" t="s">
        <v>39</v>
      </c>
      <c r="D39" s="5">
        <v>25.65</v>
      </c>
      <c r="E39" s="1">
        <v>1</v>
      </c>
      <c r="F39" s="5">
        <f>D39*E39</f>
        <v>25.65</v>
      </c>
      <c r="G39" s="80">
        <v>0</v>
      </c>
    </row>
    <row r="40" spans="2:9" ht="15" thickBot="1" x14ac:dyDescent="0.35">
      <c r="B40" t="s">
        <v>192</v>
      </c>
      <c r="C40" s="1" t="s">
        <v>39</v>
      </c>
      <c r="D40" s="5">
        <v>74.180000000000007</v>
      </c>
      <c r="E40" s="1">
        <v>1</v>
      </c>
      <c r="F40" s="5">
        <f>D40*E40</f>
        <v>74.180000000000007</v>
      </c>
      <c r="G40" s="80">
        <v>0</v>
      </c>
    </row>
    <row r="41" spans="2:9" x14ac:dyDescent="0.3">
      <c r="B41" t="s">
        <v>163</v>
      </c>
      <c r="C41" s="1" t="s">
        <v>39</v>
      </c>
      <c r="D41" s="65">
        <f>Parameters!D$6</f>
        <v>5.5E-2</v>
      </c>
      <c r="E41" s="2"/>
      <c r="F41" s="9"/>
      <c r="G41" s="71" t="s">
        <v>79</v>
      </c>
      <c r="H41" s="47" t="s">
        <v>380</v>
      </c>
      <c r="I41" s="46" t="s">
        <v>398</v>
      </c>
    </row>
    <row r="42" spans="2:9" x14ac:dyDescent="0.3">
      <c r="C42" s="1"/>
      <c r="D42" s="5"/>
      <c r="E42" s="1"/>
      <c r="F42" s="5"/>
      <c r="G42" s="46"/>
      <c r="I42" s="22" t="s">
        <v>399</v>
      </c>
    </row>
    <row r="43" spans="2:9" x14ac:dyDescent="0.3">
      <c r="B43" s="6" t="s">
        <v>127</v>
      </c>
      <c r="D43" s="5"/>
      <c r="F43" s="5">
        <f>SUM(F16:F41)</f>
        <v>2042.16</v>
      </c>
      <c r="G43" s="67">
        <f>SUM(G16:G41)</f>
        <v>0</v>
      </c>
    </row>
    <row r="44" spans="2:9" x14ac:dyDescent="0.3">
      <c r="I44" s="4"/>
    </row>
    <row r="45" spans="2:9" ht="15" thickBot="1" x14ac:dyDescent="0.35">
      <c r="B45" s="6" t="s">
        <v>108</v>
      </c>
      <c r="D45" s="5"/>
      <c r="F45" s="5"/>
    </row>
    <row r="46" spans="2:9" ht="15" thickBot="1" x14ac:dyDescent="0.35">
      <c r="B46" t="s">
        <v>191</v>
      </c>
      <c r="C46" s="1" t="s">
        <v>39</v>
      </c>
      <c r="D46" s="5">
        <v>78.89</v>
      </c>
      <c r="E46" s="1">
        <v>1</v>
      </c>
      <c r="F46" s="5">
        <f>D46*E46</f>
        <v>78.89</v>
      </c>
      <c r="G46" s="80">
        <v>0</v>
      </c>
    </row>
    <row r="47" spans="2:9" ht="15" thickBot="1" x14ac:dyDescent="0.35">
      <c r="B47" t="s">
        <v>192</v>
      </c>
      <c r="C47" s="1" t="s">
        <v>39</v>
      </c>
      <c r="D47" s="5">
        <v>115.99</v>
      </c>
      <c r="E47" s="1">
        <v>1</v>
      </c>
      <c r="F47" s="5">
        <f>D47*E47</f>
        <v>115.99</v>
      </c>
      <c r="G47" s="80">
        <v>0</v>
      </c>
    </row>
    <row r="48" spans="2:9" ht="15" thickBot="1" x14ac:dyDescent="0.35">
      <c r="B48" t="s">
        <v>193</v>
      </c>
      <c r="C48" s="1" t="s">
        <v>39</v>
      </c>
      <c r="D48" s="5">
        <v>200</v>
      </c>
      <c r="E48" s="1">
        <v>1</v>
      </c>
      <c r="F48" s="5">
        <f>D48*E48</f>
        <v>200</v>
      </c>
      <c r="G48" s="80">
        <v>0</v>
      </c>
    </row>
    <row r="49" spans="2:7" x14ac:dyDescent="0.3">
      <c r="C49" s="1"/>
      <c r="D49" s="5"/>
      <c r="E49" s="1"/>
      <c r="F49" s="5"/>
    </row>
    <row r="50" spans="2:7" x14ac:dyDescent="0.3">
      <c r="B50" s="6" t="s">
        <v>130</v>
      </c>
      <c r="D50" s="5"/>
      <c r="F50" s="5">
        <f>SUM(F46:F48)</f>
        <v>394.88</v>
      </c>
      <c r="G50" s="67">
        <f>SUM(G46:G48)</f>
        <v>0</v>
      </c>
    </row>
    <row r="51" spans="2:7" x14ac:dyDescent="0.3">
      <c r="D51" s="5"/>
      <c r="F51" s="5"/>
      <c r="G51" s="67"/>
    </row>
    <row r="52" spans="2:7" x14ac:dyDescent="0.3">
      <c r="B52" s="6" t="s">
        <v>131</v>
      </c>
      <c r="D52" s="5"/>
      <c r="F52" s="5">
        <f>F43+F50</f>
        <v>2437.04</v>
      </c>
      <c r="G52" s="67">
        <f>G43+G50</f>
        <v>0</v>
      </c>
    </row>
    <row r="53" spans="2:7" ht="15" thickBot="1" x14ac:dyDescent="0.35"/>
    <row r="54" spans="2:7" ht="15.6" thickTop="1" thickBot="1" x14ac:dyDescent="0.35">
      <c r="F54" s="158" t="s">
        <v>374</v>
      </c>
      <c r="G54" s="162"/>
    </row>
    <row r="55" spans="2:7" ht="15" thickTop="1" x14ac:dyDescent="0.3"/>
  </sheetData>
  <sheetProtection sheet="1" objects="1" scenarios="1" selectLockedCells="1"/>
  <mergeCells count="1">
    <mergeCell ref="F54:G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x H x R 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D E f F F 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H x R V y i K R 7 g O A A A A E Q A A A B M A H A B G b 3 J t d W x h c y 9 T Z W N 0 a W 9 u M S 5 t I K I Y A C i g F A A A A A A A A A A A A A A A A A A A A A A A A A A A A C t O T S 7 J z M 9 T C I b Q h t Y A U E s B A i 0 A F A A C A A g A x H x R V 5 2 I Z o + j A A A A 9 g A A A B I A A A A A A A A A A A A A A A A A A A A A A E N v b m Z p Z y 9 Q Y W N r Y W d l L n h t b F B L A Q I t A B Q A A g A I A M R 8 U V c P y u m r p A A A A O k A A A A T A A A A A A A A A A A A A A A A A O 8 A A A B b Q 2 9 u d G V u d F 9 U e X B l c 1 0 u e G 1 s U E s B A i 0 A F A A C A A g A x H x R 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S 2 Z h 8 A N A R D o 6 4 N j w A e 5 s Y A A A A A A g A A A A A A A 2 Y A A M A A A A A Q A A A A P g d w d B o V B H + K c A I 1 7 l B t J Q A A A A A E g A A A o A A A A B A A A A B v g N b M y K e x 2 L B g P U v T + Q 7 f U A A A A F 6 t e z S T 5 Z n A m y f b s n D s b 3 k G j t A j L t G 6 V g G x s 3 U H r x m s T J 8 N R E A 3 b C I 2 D 4 O z d 6 w U D Z f Z W f J A 3 5 U R Q L h C u i 8 i X 9 M g 8 l 4 e + c l N f M B Q W U a S f 5 E 9 F A A A A J 1 O + J Z s L Y q L 6 P Y s 5 + e / p a X g C V k f < / D a t a M a s h u p > 
</file>

<file path=customXml/itemProps1.xml><?xml version="1.0" encoding="utf-8"?>
<ds:datastoreItem xmlns:ds="http://schemas.openxmlformats.org/officeDocument/2006/customXml" ds:itemID="{AEB17687-B518-4B02-A5FD-5C8D04B823D6}">
  <ds:schemaRefs>
    <ds:schemaRef ds:uri="http://schemas.microsoft.com/DataMashup"/>
  </ds:schemaRefs>
</ds:datastoreItem>
</file>

<file path=docMetadata/LabelInfo.xml><?xml version="1.0" encoding="utf-8"?>
<clbl:labelList xmlns:clbl="http://schemas.microsoft.com/office/2020/mipLabelMetadata">
  <clbl:label id="{7cf48d45-3ddb-4389-a9c1-c115526eb52e}" enabled="0" method="" siteId="{7cf48d45-3ddb-4389-a9c1-c115526eb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Parameters</vt:lpstr>
      <vt:lpstr>Yield &amp; income projections</vt:lpstr>
      <vt:lpstr>Grafting Prep</vt:lpstr>
      <vt:lpstr>Grafting</vt:lpstr>
      <vt:lpstr>Year After Grafting</vt:lpstr>
      <vt:lpstr>Land prep</vt:lpstr>
      <vt:lpstr>Planting</vt:lpstr>
      <vt:lpstr>Non-Bearing Year</vt:lpstr>
      <vt:lpstr>Intermediate Year</vt:lpstr>
      <vt:lpstr>Mature Year</vt:lpstr>
      <vt:lpstr>Financial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Kime, Lynn F.</dc:creator>
  <cp:lastModifiedBy>Jayson Harper</cp:lastModifiedBy>
  <dcterms:created xsi:type="dcterms:W3CDTF">2023-06-09T14:57:13Z</dcterms:created>
  <dcterms:modified xsi:type="dcterms:W3CDTF">2024-04-18T17:01:00Z</dcterms:modified>
</cp:coreProperties>
</file>